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Q:\IRD\Attachments\2025\Published\20250805 1H2025 FR\Financial Fact sheet\"/>
    </mc:Choice>
  </mc:AlternateContent>
  <xr:revisionPtr revIDLastSave="0" documentId="8_{DFC5EC29-7AD2-4730-A102-9F1CDD1AF140}" xr6:coauthVersionLast="47" xr6:coauthVersionMax="47" xr10:uidLastSave="{00000000-0000-0000-0000-000000000000}"/>
  <bookViews>
    <workbookView xWindow="-120" yWindow="-120" windowWidth="25440" windowHeight="15270" tabRatio="936" firstSheet="2" activeTab="11"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state="hidden" r:id="rId6"/>
    <sheet name="AS T06 (AQ-NPEs)" sheetId="7" r:id="rId7"/>
    <sheet name="AS T07 (AQ-Rescheduled)" sheetId="13" r:id="rId8"/>
    <sheet name="AS T08.01 REPOSSESSED (REMU)" sheetId="14" r:id="rId9"/>
    <sheet name="AS T08 TOTAL (REMU)" sheetId="8" state="hidden" r:id="rId10"/>
    <sheet name="AS T09 (Capital)" sheetId="9" r:id="rId11"/>
    <sheet name="Definitions" sheetId="11" r:id="rId12"/>
    <sheet name="Disclaimer" sheetId="10" r:id="rId13"/>
  </sheets>
  <externalReferences>
    <externalReference r:id="rId14"/>
  </externalReferences>
  <definedNames>
    <definedName name="_xlnm.Print_Area" localSheetId="1">'AS T01 (Key financials-IS)'!$A$1:$U$86</definedName>
    <definedName name="_xlnm.Print_Area" localSheetId="3">'AS T03 (CySeg)'!$A$1:$AE$238</definedName>
    <definedName name="_xlnm.Print_Area" localSheetId="4">'AS T04 (Gross Loans)'!$A$1:$R$31</definedName>
    <definedName name="_xlnm.Print_Area" localSheetId="5">'AS T05 (AQ-90+DPD)'!$A$1:$P$59</definedName>
    <definedName name="_xlnm.Print_Area" localSheetId="6">'AS T06 (AQ-NPEs)'!#REF!</definedName>
    <definedName name="_xlnm.Print_Area" localSheetId="7">'AS T07 (AQ-Rescheduled)'!$A$1:$Q$18</definedName>
    <definedName name="_xlnm.Print_Area" localSheetId="9">'AS T08 TOTAL (REMU)'!$A$1:$AK$21</definedName>
    <definedName name="_xlnm.Print_Area" localSheetId="8">'AS T08.01 REPOSSESSED (REMU)'!$A$1:$K$28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8" l="1"/>
  <c r="B16" i="8"/>
  <c r="B15" i="8"/>
  <c r="B14" i="8"/>
  <c r="B13" i="8"/>
  <c r="B12" i="8"/>
  <c r="B8" i="8"/>
  <c r="B7" i="8"/>
  <c r="B6" i="8"/>
  <c r="B5" i="8"/>
  <c r="BU18" i="8"/>
  <c r="BT18" i="8"/>
  <c r="BS18" i="8"/>
  <c r="BR18" i="8"/>
  <c r="BQ18" i="8"/>
  <c r="BP18" i="8"/>
  <c r="BO18" i="8"/>
  <c r="BN18" i="8"/>
  <c r="BM18" i="8"/>
  <c r="BL18" i="8"/>
  <c r="BJ18" i="8"/>
  <c r="BI18" i="8"/>
  <c r="BH18" i="8"/>
  <c r="BG18" i="8"/>
  <c r="BF18" i="8"/>
  <c r="BE18" i="8"/>
  <c r="BD18" i="8"/>
  <c r="BC18" i="8"/>
  <c r="BB18" i="8"/>
  <c r="BA18" i="8"/>
  <c r="AZ18" i="8"/>
  <c r="AY18" i="8"/>
  <c r="AX18" i="8"/>
  <c r="AW18" i="8"/>
  <c r="AV18" i="8"/>
  <c r="AU18" i="8"/>
  <c r="AT18" i="8"/>
  <c r="AS18" i="8"/>
  <c r="AR18" i="8"/>
  <c r="AQ18" i="8"/>
  <c r="AP18" i="8"/>
  <c r="AO18" i="8"/>
  <c r="AN18" i="8"/>
  <c r="Y18" i="8"/>
  <c r="V18" i="8"/>
  <c r="U18" i="8"/>
  <c r="T18" i="8"/>
  <c r="S18" i="8"/>
  <c r="R18" i="8"/>
  <c r="Q18" i="8"/>
  <c r="P18" i="8"/>
  <c r="O18" i="8"/>
  <c r="N18" i="8"/>
  <c r="M18" i="8"/>
  <c r="Y16" i="8"/>
  <c r="T16" i="8"/>
  <c r="S16" i="8"/>
  <c r="R16" i="8"/>
  <c r="Q16" i="8"/>
  <c r="P16" i="8"/>
  <c r="O16" i="8"/>
  <c r="N16" i="8"/>
  <c r="M16" i="8"/>
  <c r="O15" i="8"/>
  <c r="N15" i="8"/>
  <c r="M15" i="8"/>
  <c r="V14" i="8"/>
  <c r="U14" i="8"/>
  <c r="T14" i="8"/>
  <c r="S14" i="8"/>
  <c r="R14" i="8"/>
  <c r="Q14" i="8"/>
  <c r="P14" i="8"/>
  <c r="O14" i="8"/>
  <c r="N14" i="8"/>
  <c r="M14" i="8"/>
  <c r="V13" i="8"/>
  <c r="U13" i="8"/>
  <c r="T13" i="8"/>
  <c r="S13" i="8"/>
  <c r="R13" i="8"/>
  <c r="Q13" i="8"/>
  <c r="P13" i="8"/>
  <c r="O13" i="8"/>
  <c r="N13" i="8"/>
  <c r="M13" i="8"/>
  <c r="V12" i="8"/>
  <c r="U12" i="8"/>
  <c r="T12" i="8"/>
  <c r="S12" i="8"/>
  <c r="R12" i="8"/>
  <c r="Q12" i="8"/>
  <c r="P12" i="8"/>
  <c r="O12" i="8"/>
  <c r="N12" i="8"/>
  <c r="M12" i="8"/>
  <c r="BU10" i="8"/>
  <c r="BT10" i="8"/>
  <c r="BS10" i="8"/>
  <c r="BR10" i="8"/>
  <c r="BQ10" i="8"/>
  <c r="BP10" i="8"/>
  <c r="BO10" i="8"/>
  <c r="BN10" i="8"/>
  <c r="BM10" i="8"/>
  <c r="BL10" i="8"/>
  <c r="BK10" i="8"/>
  <c r="BJ10" i="8"/>
  <c r="BI10" i="8"/>
  <c r="BH10" i="8"/>
  <c r="BG10" i="8"/>
  <c r="BF10" i="8"/>
  <c r="BE10" i="8"/>
  <c r="BD10" i="8"/>
  <c r="BC10" i="8"/>
  <c r="BB10" i="8"/>
  <c r="BA10" i="8"/>
  <c r="AZ10" i="8"/>
  <c r="AY10" i="8"/>
  <c r="AX10" i="8"/>
  <c r="AW10" i="8"/>
  <c r="AV10" i="8"/>
  <c r="AU10" i="8"/>
  <c r="AT10" i="8"/>
  <c r="AS10" i="8"/>
  <c r="AR10" i="8"/>
  <c r="AQ10" i="8"/>
  <c r="AP10" i="8"/>
  <c r="AO10" i="8"/>
  <c r="AN10" i="8"/>
  <c r="AM10"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A9" i="8"/>
  <c r="Z9" i="8"/>
  <c r="Y9" i="8"/>
  <c r="X9" i="8"/>
  <c r="W9" i="8"/>
  <c r="V9" i="8"/>
  <c r="U9" i="8"/>
  <c r="T9" i="8"/>
  <c r="S9" i="8"/>
  <c r="R9" i="8"/>
  <c r="Q9" i="8"/>
  <c r="P9" i="8"/>
  <c r="O9" i="8"/>
  <c r="N9" i="8"/>
  <c r="M9" i="8"/>
  <c r="L9" i="8"/>
  <c r="K9" i="8"/>
  <c r="J9" i="8"/>
  <c r="I9" i="8"/>
  <c r="C9" i="8"/>
  <c r="B9" i="8"/>
  <c r="AA8" i="8"/>
  <c r="Z8" i="8"/>
  <c r="Y8" i="8"/>
  <c r="X8" i="8"/>
  <c r="W8" i="8"/>
  <c r="V8" i="8"/>
  <c r="U8" i="8"/>
  <c r="T8" i="8"/>
  <c r="S8" i="8"/>
  <c r="R8" i="8"/>
  <c r="Q8" i="8"/>
  <c r="P8" i="8"/>
  <c r="O8" i="8"/>
  <c r="N8" i="8"/>
  <c r="M8" i="8"/>
  <c r="X7" i="8"/>
  <c r="W7" i="8"/>
  <c r="V7" i="8"/>
  <c r="T7" i="8"/>
  <c r="S7" i="8"/>
  <c r="R7" i="8"/>
  <c r="Q7" i="8"/>
  <c r="P7" i="8"/>
  <c r="O7" i="8"/>
  <c r="N7" i="8"/>
  <c r="X6" i="8"/>
  <c r="W6" i="8"/>
  <c r="V6" i="8"/>
  <c r="U6" i="8"/>
  <c r="T6" i="8"/>
  <c r="S6" i="8"/>
  <c r="R6" i="8"/>
  <c r="Q6" i="8"/>
  <c r="P6" i="8"/>
  <c r="O6" i="8"/>
  <c r="N6" i="8"/>
  <c r="M6" i="8"/>
  <c r="X5" i="8"/>
  <c r="W5" i="8"/>
  <c r="V5" i="8"/>
  <c r="U5" i="8"/>
  <c r="T5" i="8"/>
  <c r="S5" i="8"/>
  <c r="R5" i="8"/>
  <c r="Q5" i="8"/>
  <c r="P5" i="8"/>
  <c r="O5" i="8"/>
  <c r="N5" i="8"/>
  <c r="M5" i="8"/>
  <c r="Y4" i="8"/>
  <c r="X4" i="8"/>
  <c r="W4" i="8"/>
  <c r="V4" i="8"/>
  <c r="U4" i="8"/>
  <c r="T4" i="8"/>
  <c r="S4" i="8"/>
  <c r="R4" i="8"/>
  <c r="Q4" i="8"/>
  <c r="P4" i="8"/>
  <c r="O4" i="8"/>
  <c r="N4" i="8"/>
  <c r="M4" i="8"/>
  <c r="L4" i="8"/>
  <c r="K4" i="8"/>
  <c r="J4" i="8"/>
  <c r="I4" i="8"/>
  <c r="C4" i="8"/>
  <c r="B4" i="8"/>
  <c r="AM18" i="8" l="1"/>
  <c r="AM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tc={CD185F85-ED42-4106-802B-CAB92037632D}</author>
    <author>tc={AD3D9B7F-25DE-4ACB-A678-A5B2DD353F99}</author>
    <author>tc={D1022B8F-A23A-4325-AEB6-456DF4BB2500}</author>
    <author>tc={2C1E4D14-5FB3-4B0E-971E-C6DADB3D5372}</author>
    <author>tc={74CD2C05-87BD-4FF7-9A8B-6C612AB7F583}</author>
    <author>tc={02738093-7333-4DEE-9C2C-7C52A566B7CF}</author>
    <author>tc={BFC1380A-5C9F-4332-A0D2-87B106F8F276}</author>
    <author>tc={387997AB-A624-4006-955A-402F74792DD3}</author>
    <author>tc={E912D9D8-9900-4DAC-BD8B-DF8105E551B9}</author>
    <author>tc={9A6F9B84-F839-4983-93AA-0547AE3703BE}</author>
    <author>tc={4C8B5886-F09B-413A-BB1F-0D26EC0E1739}</author>
    <author>tc={E56B2942-125C-4A40-ACAC-89F0B98609A5}</author>
    <author>tc={7340BB1B-F2CB-43F8-9EE2-908C49A0A4E7}</author>
    <author>tc={AF4969F9-7841-4B81-804D-ABF2138AB7CB}</author>
    <author>tc={D0B0F915-6A0A-493D-8D1F-42FFFC87D24E}</author>
    <author>tc={A5F6F419-028A-40B2-B350-AAF06284944D}</author>
    <author>tc={2E15296A-2F1E-428D-A365-285F6E108ADE}</author>
    <author>tc={EE6357B1-D031-49F6-AC96-C291430A88FD}</author>
    <author>tc={F4487064-57A4-4329-BED2-93F8936179A6}</author>
    <author>tc={82AD2B1E-6C89-4150-AC31-10F2BDC2A79E}</author>
    <author>tc={B6C3E0C0-F326-424E-9B50-11990D286421}</author>
    <author>tc={32D59083-D96A-41BD-A84B-E28327E27D43}</author>
    <author>tc={26213D61-86EE-408C-BEF4-EEC79F3E8ECE}</author>
    <author>tc={74EFEF1E-3927-4773-90FA-1CE302EE7029}</author>
    <author>tc={E325DBC9-761B-42C8-87BE-7CE638E25F64}</author>
    <author>tc={9002338A-012C-4322-9AB4-1C26D93CD973}</author>
    <author>tc={B5FCC5FC-4456-4346-8311-9B09441526F6}</author>
    <author>tc={7D1713D9-00FE-4965-8454-7D403567D235}</author>
    <author>tc={B89FC146-38C1-44CB-8B1B-25E2776EF48B}</author>
    <author>tc={A08FBFA1-0221-482C-BE80-09A7A4F99CCA}</author>
    <author>tc={1C45D51A-5031-46B5-BAD3-91BEB816BE5C}</author>
    <author>tc={56F84846-413F-4A38-AD68-2326B60D119C}</author>
    <author>tc={84767A09-CD0E-400B-A976-724F3411F427}</author>
    <author>tc={6B31FED5-9687-444A-9528-BC556501FD92}</author>
    <author>tc={1D232193-C157-4615-A889-F7D78C8F4D4F}</author>
    <author>tc={DB1E1D6F-267E-4575-9FB1-C6577693A87B}</author>
    <author>tc={89B11A40-D2FD-4231-B411-AF3B883BAEB8}</author>
    <author>tc={317EEF1D-802E-4B37-98C2-62A8CED3D203}</author>
    <author>tc={82C381D1-61EA-4BC2-B177-5E0E34629600}</author>
    <author>tc={2A4B5545-04C3-4F98-B822-F7C17EE92AB0}</author>
    <author>tc={F59E9E6C-7CAA-4FE9-A42F-1DBFD7B0C63F}</author>
    <author>tc={760B8C7C-4674-40C8-A887-9B81AEE05ABB}</author>
    <author>tc={ED1AF4DF-5F49-42C3-81A6-9DF8BD680A7F}</author>
    <author>tc={E647686C-98F6-42E7-AFCB-A8E1FC320196}</author>
    <author>tc={64C96A01-F527-4032-A373-8F396FAF511D}</author>
    <author>tc={FC951008-5D2F-465D-8B56-07090BBD2CCD}</author>
    <author>tc={2424505B-FD82-4C6E-9EA5-D429B68D7043}</author>
    <author>tc={0D7818F3-3C4B-4015-8D31-81684DE43D7A}</author>
    <author>tc={50BE2D81-1351-4433-A241-F0A90897DC9B}</author>
    <author>tc={B396135D-53E1-4A6D-A998-0FF75DE64463}</author>
    <author>tc={28D0BD1E-4455-4487-8C2E-2F69D1759175}</author>
    <author>tc={39DB0A8D-5DA9-4231-B844-A7A85FFD5C9E}</author>
    <author>tc={D9CB0664-1E1E-4B02-B9E2-1881BB659369}</author>
    <author>tc={8C1307EC-17E6-47F6-A6FB-C3E64900C473}</author>
    <author>tc={90C49523-81ED-4A3A-9636-D2AC320490BB}</author>
    <author>tc={6932F31B-3CC9-4345-A5E5-99DE39B41887}</author>
    <author>tc={ECB6789B-33A5-433A-BA50-106630DCE20E}</author>
    <author>tc={A79C86C9-ADE5-4AF0-8B06-77CCCFB6B91B}</author>
    <author>tc={4EBA0AE6-D5C1-44B9-8229-5571D62CCB53}</author>
    <author>tc={7FCFB436-CA0A-4392-A540-ECD4090E4A4E}</author>
    <author>tc={3B940FBA-1BAF-435B-A93F-CC823BFA2B44}</author>
    <author>tc={C1BCFE0A-6812-4952-B1DB-184F563E24DA}</author>
    <author>tc={D1207D5D-B7C2-4D2D-8D91-F87F60626F35}</author>
    <author>tc={565E2578-E1AA-41EB-9757-92F303A0E766}</author>
    <author>tc={DDDEC752-9289-4AEC-BAAB-A6EDBEDC0052}</author>
    <author>tc={6F613829-54FD-4E0B-AA88-9AB609DC4FCB}</author>
    <author>tc={C4694E78-8FD8-4E57-949B-C7451947F95E}</author>
    <author>tc={1663FBB2-EF99-4B66-9D5C-7281F444F923}</author>
    <author>tc={825325EC-5387-441E-8FCF-2DE170B5774E}</author>
    <author>tc={CEE035D6-EAC7-48BE-A13D-B1FF55FD4E08}</author>
    <author>tc={779EAF29-365A-4EDC-8CB4-E2FB98C6CE81}</author>
    <author>tc={F89B743B-86E8-443B-A958-D6514B8661C2}</author>
    <author>tc={32D46ADD-32A8-4D6E-BC67-0A034A43C2D3}</author>
    <author>tc={B590C835-BC65-4417-8494-C478062F9099}</author>
    <author>tc={448AD738-A8F4-4B86-A96A-A735F45AE8FD}</author>
    <author>tc={2280DAE8-690E-4757-ACBF-897197B8DD0E}</author>
    <author>tc={10991E38-0A2A-4279-B29E-64DAC4E20DC9}</author>
    <author>tc={17B44FCA-96FA-4565-A538-ADE9A92E5B43}</author>
    <author>tc={DA4E602B-4599-443A-9E2E-6B8DA663570F}</author>
    <author>tc={1EC5CE94-EFB0-46D6-9A0F-F022F15317AF}</author>
    <author>tc={6BFAEE14-ACD5-41AD-A2BC-53AD604D835C}</author>
    <author>tc={5C133AAE-88A3-4D74-BADD-C770ADDE7FEA}</author>
    <author>tc={C97C0B8D-73B1-479B-8C3B-66FF1A78CAC0}</author>
    <author>tc={D64337B0-895A-44A6-9274-F3FC1433E660}</author>
    <author>tc={8BA2FA87-4CC0-4CE8-9C08-3C46D25F19D5}</author>
    <author>tc={57BBB889-EC4A-4040-A4C6-C007896D9C17}</author>
    <author>tc={F0CF1B4F-464A-4AD8-A2AA-D5476AFC281A}</author>
    <author>tc={F6AC3783-566A-4C15-93EC-1F7F137E6F1E}</author>
    <author>tc={04AAA704-8410-453D-8315-1EB9A7E76A03}</author>
    <author>tc={56149233-8F93-4A40-AE43-BFE1FC9174A0}</author>
    <author>tc={C2417CB3-D145-4F20-ACFC-9C34274A97DC}</author>
    <author>tc={0259F938-2CB9-492B-82FF-BCEE0C109C2E}</author>
    <author>tc={3E58394A-7770-43B8-A8C9-7DD776708194}</author>
    <author>tc={09CB27EA-9468-4CC6-BE18-59E60B2A8712}</author>
    <author>tc={D5AD18C1-6731-4EEA-8226-A7CB3EB75248}</author>
    <author>tc={AEE9378C-FA6A-482B-89B3-005B78FF500F}</author>
    <author>tc={35AC5EE0-802D-47F8-9248-1FD92E481093}</author>
  </authors>
  <commentList>
    <comment ref="B4" authorId="0" shapeId="0" xr:uid="{CD185F85-ED42-4106-802B-CAB92037632D}">
      <text>
        <t xml:space="preserve">[Threaded comment]
Your version of Excel allows you to read this threaded comment; however, any edits to it will get removed if the file is opened in a newer version of Excel. Learn more: https://go.microsoft.com/fwlink/?linkid=870924
Comment:
    including A80120 and A80130
+1,618 CYP001 A80130
+3,796 CYP041 A80130
including: Laiki Small Units 1,477
excluding: GIC -1.243
</t>
      </text>
    </comment>
    <comment ref="C4" authorId="1" shapeId="0" xr:uid="{AD3D9B7F-25DE-4ACB-A678-A5B2DD353F99}">
      <text>
        <t xml:space="preserve">[Threaded comment]
Your version of Excel allows you to read this threaded comment; however, any edits to it will get removed if the file is opened in a newer version of Excel. Learn more: https://go.microsoft.com/fwlink/?linkid=870924
Comment:
    including A80120 and A80130
+1,618 CYP001 A80130
+3,796 CYP041 A80130
including: Laiki Small Units 1,477
excluding: GIC -1.243
</t>
      </text>
    </comment>
    <comment ref="D4" authorId="2" shapeId="0" xr:uid="{D1022B8F-A23A-4325-AEB6-456DF4BB2500}">
      <text>
        <t xml:space="preserve">[Threaded comment]
Your version of Excel allows you to read this threaded comment; however, any edits to it will get removed if the file is opened in a newer version of Excel. Learn more: https://go.microsoft.com/fwlink/?linkid=870924
Comment:
    including A80120 and A80130
+1,618 CYP001 A80130
+3,796 CYP041 A80130
including: Laiki Small Units 1,477
excluding: GIC -1.243
</t>
      </text>
    </comment>
    <comment ref="E4" authorId="3" shapeId="0" xr:uid="{2C1E4D14-5FB3-4B0E-971E-C6DADB3D5372}">
      <text>
        <t xml:space="preserve">[Threaded comment]
Your version of Excel allows you to read this threaded comment; however, any edits to it will get removed if the file is opened in a newer version of Excel. Learn more: https://go.microsoft.com/fwlink/?linkid=870924
Comment:
    including A80120 and A80130
+1,618 CYP001 A80130
+3,796 CYP041 A80130
including: Laiki Small Units 1,477
excluding: GIC -1.243
</t>
      </text>
    </comment>
    <comment ref="F4" authorId="4" shapeId="0" xr:uid="{74CD2C05-87BD-4FF7-9A8B-6C612AB7F583}">
      <text>
        <t>[Threaded comment]
Your version of Excel allows you to read this threaded comment; however, any edits to it will get removed if the file is opened in a newer version of Excel. Learn more: https://go.microsoft.com/fwlink/?linkid=870924
Comment:
    including A80120
including: Laiki Small Units 1,477
excluding: GIC -1,243</t>
      </text>
    </comment>
    <comment ref="G4" authorId="5" shapeId="0" xr:uid="{02738093-7333-4DEE-9C2C-7C52A566B7CF}">
      <text>
        <t>[Threaded comment]
Your version of Excel allows you to read this threaded comment; however, any edits to it will get removed if the file is opened in a newer version of Excel. Learn more: https://go.microsoft.com/fwlink/?linkid=870924
Comment:
    including A80120
including: Laiki Small Units 1,477
excluding: GIC -1,243</t>
      </text>
    </comment>
    <comment ref="H4" authorId="6" shapeId="0" xr:uid="{BFC1380A-5C9F-4332-A0D2-87B106F8F276}">
      <text>
        <t>[Threaded comment]
Your version of Excel allows you to read this threaded comment; however, any edits to it will get removed if the file is opened in a newer version of Excel. Learn more: https://go.microsoft.com/fwlink/?linkid=870924
Comment:
    including 
Laiki Small Units 1,477
-1,243 GIC</t>
      </text>
    </comment>
    <comment ref="I4" authorId="7" shapeId="0" xr:uid="{387997AB-A624-4006-955A-402F74792DD3}">
      <text>
        <t>[Threaded comment]
Your version of Excel allows you to read this threaded comment; however, any edits to it will get removed if the file is opened in a newer version of Excel. Learn more: https://go.microsoft.com/fwlink/?linkid=870924
Comment:
    including 
Laiki Small Units 1,477
-1,243 GIC</t>
      </text>
    </comment>
    <comment ref="J4" authorId="8" shapeId="0" xr:uid="{E912D9D8-9900-4DAC-BD8B-DF8105E551B9}">
      <text>
        <t>[Threaded comment]
Your version of Excel allows you to read this threaded comment; however, any edits to it will get removed if the file is opened in a newer version of Excel. Learn more: https://go.microsoft.com/fwlink/?linkid=870924
Comment:
    including 
KPI 15,090
Laiki Small Units 1,477</t>
      </text>
    </comment>
    <comment ref="K4" authorId="9" shapeId="0" xr:uid="{9A6F9B84-F839-4983-93AA-0547AE3703BE}">
      <text>
        <t>[Threaded comment]
Your version of Excel allows you to read this threaded comment; however, any edits to it will get removed if the file is opened in a newer version of Excel. Learn more: https://go.microsoft.com/fwlink/?linkid=870924
Comment:
    including 
KPI 15,090
Laiki Small Units 1,477</t>
      </text>
    </comment>
    <comment ref="L4" authorId="10" shapeId="0" xr:uid="{4C8B5886-F09B-413A-BB1F-0D26EC0E1739}">
      <text>
        <t>[Threaded comment]
Your version of Excel allows you to read this threaded comment; however, any edits to it will get removed if the file is opened in a newer version of Excel. Learn more: https://go.microsoft.com/fwlink/?linkid=870924
Comment:
    including 
KPI 15,090
Laiki Small Units 1,477</t>
      </text>
    </comment>
    <comment ref="M4" authorId="11" shapeId="0" xr:uid="{E56B2942-125C-4A40-ACAC-89F0B98609A5}">
      <text>
        <t>[Threaded comment]
Your version of Excel allows you to read this threaded comment; however, any edits to it will get removed if the file is opened in a newer version of Excel. Learn more: https://go.microsoft.com/fwlink/?linkid=870924
Comment:
    including 
KPI 15,090
Laiki Small Units 1,477</t>
      </text>
    </comment>
    <comment ref="N4" authorId="12" shapeId="0" xr:uid="{7340BB1B-F2CB-43F8-9EE2-908C49A0A4E7}">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O4" authorId="13" shapeId="0" xr:uid="{AF4969F9-7841-4B81-804D-ABF2138AB7CB}">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P4" authorId="14" shapeId="0" xr:uid="{D0B0F915-6A0A-493D-8D1F-42FFFC87D24E}">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B5" authorId="15" shapeId="0" xr:uid="{A5F6F419-028A-40B2-B350-AAF06284944D}">
      <text>
        <t>[Threaded comment]
Your version of Excel allows you to read this threaded comment; however, any edits to it will get removed if the file is opened in a newer version of Excel. Learn more: https://go.microsoft.com/fwlink/?linkid=870924
Comment:
    2,231 Capitalization of Stock of Properties</t>
      </text>
    </comment>
    <comment ref="C5" authorId="16" shapeId="0" xr:uid="{2E15296A-2F1E-428D-A365-285F6E108ADE}">
      <text>
        <t>[Threaded comment]
Your version of Excel allows you to read this threaded comment; however, any edits to it will get removed if the file is opened in a newer version of Excel. Learn more: https://go.microsoft.com/fwlink/?linkid=870924
Comment:
    2,231 Capitalization of Stock of Properties</t>
      </text>
    </comment>
    <comment ref="D5" authorId="17" shapeId="0" xr:uid="{EE6357B1-D031-49F6-AC96-C291430A88FD}">
      <text>
        <t>[Threaded comment]
Your version of Excel allows you to read this threaded comment; however, any edits to it will get removed if the file is opened in a newer version of Excel. Learn more: https://go.microsoft.com/fwlink/?linkid=870924
Comment:
    2,231 Capitalization of Stock of Properties</t>
      </text>
    </comment>
    <comment ref="E5" authorId="18" shapeId="0" xr:uid="{F4487064-57A4-4329-BED2-93F8936179A6}">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F5" authorId="19" shapeId="0" xr:uid="{82AD2B1E-6C89-4150-AC31-10F2BDC2A79E}">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G5" authorId="20" shapeId="0" xr:uid="{B6C3E0C0-F326-424E-9B50-11990D286421}">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H5" authorId="21" shapeId="0" xr:uid="{32D59083-D96A-41BD-A84B-E28327E27D43}">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I5" authorId="22" shapeId="0" xr:uid="{26213D61-86EE-408C-BEF4-EEC79F3E8ECE}">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J5" authorId="23" shapeId="0" xr:uid="{74EFEF1E-3927-4773-90FA-1CE302EE7029}">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K5" authorId="24" shapeId="0" xr:uid="{E325DBC9-761B-42C8-87BE-7CE638E25F64}">
      <text>
        <t>[Threaded comment]
Your version of Excel allows you to read this threaded comment; however, any edits to it will get removed if the file is opened in a newer version of Excel. Learn more: https://go.microsoft.com/fwlink/?linkid=870924
Comment:
    3,189 Capitalization of Stock of Properties</t>
      </text>
    </comment>
    <comment ref="L5" authorId="25" shapeId="0" xr:uid="{9002338A-012C-4322-9AB4-1C26D93CD973}">
      <text>
        <t>[Threaded comment]
Your version of Excel allows you to read this threaded comment; however, any edits to it will get removed if the file is opened in a newer version of Excel. Learn more: https://go.microsoft.com/fwlink/?linkid=870924
Comment:
    3,178 Capitalization of Stock of Properties</t>
      </text>
    </comment>
    <comment ref="M5" authorId="26" shapeId="0" xr:uid="{B5FCC5FC-4456-4346-8311-9B09441526F6}">
      <text>
        <t>[Threaded comment]
Your version of Excel allows you to read this threaded comment; however, any edits to it will get removed if the file is opened in a newer version of Excel. Learn more: https://go.microsoft.com/fwlink/?linkid=870924
Comment:
    3,037 Capitalization of Stock of Properties</t>
      </text>
    </comment>
    <comment ref="Q5" authorId="27" shapeId="0" xr:uid="{7D1713D9-00FE-4965-8454-7D403567D235}">
      <text>
        <t>[Threaded comment]
Your version of Excel allows you to read this threaded comment; however, any edits to it will get removed if the file is opened in a newer version of Excel. Learn more: https://go.microsoft.com/fwlink/?linkid=870924
Comment:
    21,805 Ex-Laiki Building (Fota Kalispera)</t>
      </text>
    </comment>
    <comment ref="R5" authorId="28" shapeId="0" xr:uid="{B89FC146-38C1-44CB-8B1B-25E2776EF48B}">
      <text>
        <t>[Threaded comment]
Your version of Excel allows you to read this threaded comment; however, any edits to it will get removed if the file is opened in a newer version of Excel. Learn more: https://go.microsoft.com/fwlink/?linkid=870924
Comment:
    21,805 Ex-Laiki Building (Fota Kalispera)</t>
      </text>
    </comment>
    <comment ref="X6" authorId="29" shapeId="0" xr:uid="{A08FBFA1-0221-482C-BE80-09A7A4F99CCA}">
      <text>
        <t xml:space="preserve">[Threaded comment]
Your version of Excel allows you to read this threaded comment; however, any edits to it will get removed if the file is opened in a newer version of Excel. Learn more: https://go.microsoft.com/fwlink/?linkid=870924
Comment:
    91,569
+HELIX
</t>
      </text>
    </comment>
    <comment ref="E7" authorId="30" shapeId="0" xr:uid="{1C45D51A-5031-46B5-BAD3-91BEB816BE5C}">
      <text>
        <t>[Threaded comment]
Your version of Excel allows you to read this threaded comment; however, any edits to it will get removed if the file is opened in a newer version of Excel. Learn more: https://go.microsoft.com/fwlink/?linkid=870924
Comment:
    Mainly, Edoric Properties Ltd
Orphanides Mall
Transferred from Stock of Properties (which was in CYP041) to own properties in CYP001 books</t>
      </text>
    </comment>
    <comment ref="F7" authorId="31" shapeId="0" xr:uid="{56F84846-413F-4A38-AD68-2326B60D119C}">
      <text>
        <t>[Threaded comment]
Your version of Excel allows you to read this threaded comment; however, any edits to it will get removed if the file is opened in a newer version of Excel. Learn more: https://go.microsoft.com/fwlink/?linkid=870924
Comment:
    Mainly, Edoric Properties Ltd
Orphanides Mall
Transferred from Stock of Properties (which was in CYP041) to own properties in CYP001 books</t>
      </text>
    </comment>
    <comment ref="G7" authorId="32" shapeId="0" xr:uid="{84767A09-CD0E-400B-A976-724F3411F427}">
      <text>
        <t>[Threaded comment]
Your version of Excel allows you to read this threaded comment; however, any edits to it will get removed if the file is opened in a newer version of Excel. Learn more: https://go.microsoft.com/fwlink/?linkid=870924
Comment:
    Mainly, Edoric Properties Ltd
Orphanides Mall
Transferred from Stock of Properties (which was in CYP041) to own properties in CYP001 books</t>
      </text>
    </comment>
    <comment ref="H7" authorId="33" shapeId="0" xr:uid="{6B31FED5-9687-444A-9528-BC556501FD92}">
      <text>
        <t xml:space="preserve">[Threaded comment]
Your version of Excel allows you to read this threaded comment; however, any edits to it will get removed if the file is opened in a newer version of Excel. Learn more: https://go.microsoft.com/fwlink/?linkid=870924
Comment:
    Mainly, Edoric Properties Ltd
Orphanides Mall
Transferred from Stock of Properties (which was in CYP041) to own properties in CYP001 books
</t>
      </text>
    </comment>
    <comment ref="I7" authorId="34" shapeId="0" xr:uid="{1D232193-C157-4615-A889-F7D78C8F4D4F}">
      <text>
        <t xml:space="preserve">[Threaded comment]
Your version of Excel allows you to read this threaded comment; however, any edits to it will get removed if the file is opened in a newer version of Excel. Learn more: https://go.microsoft.com/fwlink/?linkid=870924
Comment:
    Mainly, Edoric Properties Ltd
Orphanides Mall
Transferred from Stock of Properties (which was in CYP041) to own properties in CYP001 books
</t>
      </text>
    </comment>
    <comment ref="N7" authorId="35" shapeId="0" xr:uid="{DB1E1D6F-267E-4575-9FB1-C6577693A87B}">
      <text>
        <t>[Threaded comment]
Your version of Excel allows you to read this threaded comment; however, any edits to it will get removed if the file is opened in a newer version of Excel. Learn more: https://go.microsoft.com/fwlink/?linkid=870924
Comment:
    HFS Stock of Properties (Helix 2&amp;3)</t>
      </text>
    </comment>
    <comment ref="O7" authorId="36" shapeId="0" xr:uid="{89B11A40-D2FD-4231-B411-AF3B883BAEB8}">
      <text>
        <t>[Threaded comment]
Your version of Excel allows you to read this threaded comment; however, any edits to it will get removed if the file is opened in a newer version of Excel. Learn more: https://go.microsoft.com/fwlink/?linkid=870924
Comment:
    HFS Stock of Properties (Helix 2&amp;3)</t>
      </text>
    </comment>
    <comment ref="P7" authorId="37" shapeId="0" xr:uid="{317EEF1D-802E-4B37-98C2-62A8CED3D203}">
      <text>
        <t>[Threaded comment]
Your version of Excel allows you to read this threaded comment; however, any edits to it will get removed if the file is opened in a newer version of Excel. Learn more: https://go.microsoft.com/fwlink/?linkid=870924
Comment:
    HFS Stock of Properties (Helix 2)</t>
      </text>
    </comment>
    <comment ref="Q7" authorId="38" shapeId="0" xr:uid="{82C381D1-61EA-4BC2-B177-5E0E34629600}">
      <text>
        <t>[Threaded comment]
Your version of Excel allows you to read this threaded comment; however, any edits to it will get removed if the file is opened in a newer version of Excel. Learn more: https://go.microsoft.com/fwlink/?linkid=870924
Comment:
    HFS Stock of Properties (Helix 2)</t>
      </text>
    </comment>
    <comment ref="R7" authorId="39" shapeId="0" xr:uid="{2A4B5545-04C3-4F98-B822-F7C17EE92AB0}">
      <text>
        <t>[Threaded comment]
Your version of Excel allows you to read this threaded comment; however, any edits to it will get removed if the file is opened in a newer version of Excel. Learn more: https://go.microsoft.com/fwlink/?linkid=870924
Comment:
    HFS Stock of Properties (Helix 2)</t>
      </text>
    </comment>
    <comment ref="S7" authorId="40" shapeId="0" xr:uid="{F59E9E6C-7CAA-4FE9-A42F-1DBFD7B0C63F}">
      <text>
        <t>[Threaded comment]
Your version of Excel allows you to read this threaded comment; however, any edits to it will get removed if the file is opened in a newer version of Excel. Learn more: https://go.microsoft.com/fwlink/?linkid=870924
Comment:
    HFS Stock of Properties (Helix 2)</t>
      </text>
    </comment>
    <comment ref="T7" authorId="41" shapeId="0" xr:uid="{760B8C7C-4674-40C8-A887-9B81AEE05ABB}">
      <text>
        <t>[Threaded comment]
Your version of Excel allows you to read this threaded comment; however, any edits to it will get removed if the file is opened in a newer version of Excel. Learn more: https://go.microsoft.com/fwlink/?linkid=870924
Comment:
    HFS Stock of Properties (Helix 2)</t>
      </text>
    </comment>
    <comment ref="Z7" authorId="42" shapeId="0" xr:uid="{ED1AF4DF-5F49-42C3-81A6-9DF8BD680A7F}">
      <text>
        <t>[Threaded comment]
Your version of Excel allows you to read this threaded comment; however, any edits to it will get removed if the file is opened in a newer version of Excel. Learn more: https://go.microsoft.com/fwlink/?linkid=870924
Comment:
    AIF</t>
      </text>
    </comment>
    <comment ref="AA7" authorId="43" shapeId="0" xr:uid="{E647686C-98F6-42E7-AFCB-A8E1FC320196}">
      <text>
        <t>[Threaded comment]
Your version of Excel allows you to read this threaded comment; however, any edits to it will get removed if the file is opened in a newer version of Excel. Learn more: https://go.microsoft.com/fwlink/?linkid=870924
Comment:
    AIF</t>
      </text>
    </comment>
    <comment ref="AB7" authorId="44" shapeId="0" xr:uid="{64C96A01-F527-4032-A373-8F396FAF511D}">
      <text>
        <t>[Threaded comment]
Your version of Excel allows you to read this threaded comment; however, any edits to it will get removed if the file is opened in a newer version of Excel. Learn more: https://go.microsoft.com/fwlink/?linkid=870924
Comment:
    AIF</t>
      </text>
    </comment>
    <comment ref="AC7" authorId="45" shapeId="0" xr:uid="{FC951008-5D2F-465D-8B56-07090BBD2CCD}">
      <text>
        <t>[Threaded comment]
Your version of Excel allows you to read this threaded comment; however, any edits to it will get removed if the file is opened in a newer version of Excel. Learn more: https://go.microsoft.com/fwlink/?linkid=870924
Comment:
    AIF</t>
      </text>
    </comment>
    <comment ref="M8" authorId="46" shapeId="0" xr:uid="{2424505B-FD82-4C6E-9EA5-D429B68D7043}">
      <text>
        <t xml:space="preserve">[Threaded comment]
Your version of Excel allows you to read this threaded comment; however, any edits to it will get removed if the file is opened in a newer version of Excel. Learn more: https://go.microsoft.com/fwlink/?linkid=870924
Comment:
     Capitalization of Stock of Properties
</t>
      </text>
    </comment>
    <comment ref="N8" authorId="47" shapeId="0" xr:uid="{0D7818F3-3C4B-4015-8D31-81684DE43D7A}">
      <text>
        <t>[Threaded comment]
Your version of Excel allows you to read this threaded comment; however, any edits to it will get removed if the file is opened in a newer version of Excel. Learn more: https://go.microsoft.com/fwlink/?linkid=870924
Comment:
    +0,908 Capitalization of Stock of Properties
-0,093 Romania SPVs FX</t>
      </text>
    </comment>
    <comment ref="O8" authorId="48" shapeId="0" xr:uid="{50BE2D81-1351-4433-A241-F0A90897DC9B}">
      <text>
        <t>[Threaded comment]
Your version of Excel allows you to read this threaded comment; however, any edits to it will get removed if the file is opened in a newer version of Excel. Learn more: https://go.microsoft.com/fwlink/?linkid=870924
Comment:
    +0,908 Capitalization of Stock of Properties
-0,093 Romania SPVs FX</t>
      </text>
    </comment>
    <comment ref="P8" authorId="49" shapeId="0" xr:uid="{B396135D-53E1-4A6D-A998-0FF75DE64463}">
      <text>
        <t>[Threaded comment]
Your version of Excel allows you to read this threaded comment; however, any edits to it will get removed if the file is opened in a newer version of Excel. Learn more: https://go.microsoft.com/fwlink/?linkid=870924
Comment:
    +0,610 Capitalization of Stock of Properties
-0,078 Romania SPVs FX</t>
      </text>
    </comment>
    <comment ref="Q8" authorId="50" shapeId="0" xr:uid="{28D0BD1E-4455-4487-8C2E-2F69D1759175}">
      <text>
        <t>[Threaded comment]
Your version of Excel allows you to read this threaded comment; however, any edits to it will get removed if the file is opened in a newer version of Excel. Learn more: https://go.microsoft.com/fwlink/?linkid=870924
Comment:
    +0,391 Capitalization of Stock of Properties
-0,80 Romania SPVs FX</t>
      </text>
    </comment>
    <comment ref="R8" authorId="51" shapeId="0" xr:uid="{39DB0A8D-5DA9-4231-B844-A7A85FFD5C9E}">
      <text>
        <t>[Threaded comment]
Your version of Excel allows you to read this threaded comment; however, any edits to it will get removed if the file is opened in a newer version of Excel. Learn more: https://go.microsoft.com/fwlink/?linkid=870924
Comment:
    +0,259 Capitalization of Stock of Properties
-0,147 Romania SPVs FX</t>
      </text>
    </comment>
    <comment ref="S8" authorId="52" shapeId="0" xr:uid="{D9CB0664-1E1E-4B02-B9E2-1881BB659369}">
      <text>
        <t>[Threaded comment]
Your version of Excel allows you to read this threaded comment; however, any edits to it will get removed if the file is opened in a newer version of Excel. Learn more: https://go.microsoft.com/fwlink/?linkid=870924
Comment:
    +0,155 Capitalization of Stock of Properties
+0,080 Capitalization of Investment Properties
-0,158 Romania SPVs FX</t>
      </text>
    </comment>
    <comment ref="T8" authorId="53" shapeId="0" xr:uid="{8C1307EC-17E6-47F6-A6FB-C3E64900C473}">
      <text>
        <t>[Threaded comment]
Your version of Excel allows you to read this threaded comment; however, any edits to it will get removed if the file is opened in a newer version of Excel. Learn more: https://go.microsoft.com/fwlink/?linkid=870924
Comment:
    +0,197 Capitalization of Stock of Properties
+0,080 Capitalization of Investment Properties
-0,108 Romania SPVs FX</t>
      </text>
    </comment>
    <comment ref="U8" authorId="54" shapeId="0" xr:uid="{90C49523-81ED-4A3A-9636-D2AC320490BB}">
      <text>
        <t>[Threaded comment]
Your version of Excel allows you to read this threaded comment; however, any edits to it will get removed if the file is opened in a newer version of Excel. Learn more: https://go.microsoft.com/fwlink/?linkid=870924
Comment:
    +0,080 Capitalization of Stock of Properties
+0,082 Capitalization of Investment Properties
-0,84 Romania SPVs FX</t>
      </text>
    </comment>
    <comment ref="X8" authorId="55" shapeId="0" xr:uid="{6932F31B-3CC9-4345-A5E5-99DE39B41887}">
      <text>
        <t>[Threaded comment]
Your version of Excel allows you to read this threaded comment; however, any edits to it will get removed if the file is opened in a newer version of Excel. Learn more: https://go.microsoft.com/fwlink/?linkid=870924
Comment:
    Disposal of Helix stock
73899  HELIX stock of property December 2018</t>
      </text>
    </comment>
    <comment ref="Y8" authorId="56" shapeId="0" xr:uid="{ECB6789B-33A5-433A-BA50-106630DCE20E}">
      <text>
        <t>[Threaded comment]
Your version of Excel allows you to read this threaded comment; however, any edits to it will get removed if the file is opened in a newer version of Excel. Learn more: https://go.microsoft.com/fwlink/?linkid=870924
Comment:
    98414 HELIX stock of property March 2019
73899  HELIX stock of property December 2018</t>
      </text>
    </comment>
    <comment ref="B9" authorId="57" shapeId="0" xr:uid="{A79C86C9-ADE5-4AF0-8B06-77CCCFB6B91B}">
      <text>
        <t>[Threaded comment]
Your version of Excel allows you to read this threaded comment; however, any edits to it will get removed if the file is opened in a newer version of Excel. Learn more: https://go.microsoft.com/fwlink/?linkid=870924
Comment:
    including A80120 and A80130
+1,270 CYP001 A80130
+0 CYP041 A80130
including: Laiki Small Units 1,477
excluding: GIC -1.030</t>
      </text>
    </comment>
    <comment ref="C9" authorId="58" shapeId="0" xr:uid="{4EBA0AE6-D5C1-44B9-8229-5571D62CCB53}">
      <text>
        <t>[Threaded comment]
Your version of Excel allows you to read this threaded comment; however, any edits to it will get removed if the file is opened in a newer version of Excel. Learn more: https://go.microsoft.com/fwlink/?linkid=870924
Comment:
    including A80120 and A80130
+1,423 CYP001 A80130
+0 CYP041 A80130
including: Laiki Small Units 1,477
excluding: GIC -1.066</t>
      </text>
    </comment>
    <comment ref="D9" authorId="59" shapeId="0" xr:uid="{7FCFB436-CA0A-4392-A540-ECD4090E4A4E}">
      <text>
        <t>[Threaded comment]
Your version of Excel allows you to read this threaded comment; however, any edits to it will get removed if the file is opened in a newer version of Excel. Learn more: https://go.microsoft.com/fwlink/?linkid=870924
Comment:
    including A80120 and A80130
+2,274 CYP001 A80130
+3,299 CYP041 A80130
including: Laiki Small Units 1,477
excluding: GIC -1.066</t>
      </text>
    </comment>
    <comment ref="E9" authorId="60" shapeId="0" xr:uid="{3B940FBA-1BAF-435B-A93F-CC823BFA2B44}">
      <text>
        <t>[Threaded comment]
Your version of Excel allows you to read this threaded comment; however, any edits to it will get removed if the file is opened in a newer version of Excel. Learn more: https://go.microsoft.com/fwlink/?linkid=870924
Comment:
    including A80120 and A80130
+1,052 CYP001 A80130
+3,384 CYP041 A80130
including: Laiki Small Units 1,477
excluding: GIC -1.243</t>
      </text>
    </comment>
    <comment ref="F9" authorId="61" shapeId="0" xr:uid="{C1BCFE0A-6812-4952-B1DB-184F563E24DA}">
      <text>
        <t>[Threaded comment]
Your version of Excel allows you to read this threaded comment; however, any edits to it will get removed if the file is opened in a newer version of Excel. Learn more: https://go.microsoft.com/fwlink/?linkid=870924
Comment:
    including A80120 and A80130
+1,618 CYP001 A80130
+3,796 CYP041 A80130
including: Laiki Small Units 1,477
excluding: GIC -1.243</t>
      </text>
    </comment>
    <comment ref="G9" authorId="62" shapeId="0" xr:uid="{D1207D5D-B7C2-4D2D-8D91-F87F60626F35}">
      <text>
        <t>[Threaded comment]
Your version of Excel allows you to read this threaded comment; however, any edits to it will get removed if the file is opened in a newer version of Excel. Learn more: https://go.microsoft.com/fwlink/?linkid=870924
Comment:
    including A80120 and A80130
+3,011 CYP001 A80130
+3,796 CYP041 A80130
including: Laiki Small Units 1,477
excluding: GIC -1.243</t>
      </text>
    </comment>
    <comment ref="H9" authorId="63" shapeId="0" xr:uid="{565E2578-E1AA-41EB-9757-92F303A0E766}">
      <text>
        <t>[Threaded comment]
Your version of Excel allows you to read this threaded comment; however, any edits to it will get removed if the file is opened in a newer version of Excel. Learn more: https://go.microsoft.com/fwlink/?linkid=870924
Comment:
    including 
+4,339 CYP001 A80130
+3,796 CYP041 A80130
Laiki Small Units 1,477
-1,243 GIC</t>
      </text>
    </comment>
    <comment ref="I9" authorId="64" shapeId="0" xr:uid="{DDDEC752-9289-4AEC-BAAB-A6EDBEDC0052}">
      <text>
        <t>[Threaded comment]
Your version of Excel allows you to read this threaded comment; however, any edits to it will get removed if the file is opened in a newer version of Excel. Learn more: https://go.microsoft.com/fwlink/?linkid=870924
Comment:
    including 
Laiki Small Units 1,477
-1,243 GIC</t>
      </text>
    </comment>
    <comment ref="J9" authorId="65" shapeId="0" xr:uid="{6F613829-54FD-4E0B-AA88-9AB609DC4FCB}">
      <text>
        <t>[Threaded comment]
Your version of Excel allows you to read this threaded comment; however, any edits to it will get removed if the file is opened in a newer version of Excel. Learn more: https://go.microsoft.com/fwlink/?linkid=870924
Comment:
    including 
Laiki Small Units 1,477
-1,243 GIC</t>
      </text>
    </comment>
    <comment ref="K9" authorId="66" shapeId="0" xr:uid="{C4694E78-8FD8-4E57-949B-C7451947F95E}">
      <text>
        <t xml:space="preserve">[Threaded comment]
Your version of Excel allows you to read this threaded comment; however, any edits to it will get removed if the file is opened in a newer version of Excel. Learn more: https://go.microsoft.com/fwlink/?linkid=870924
Comment:
    including 
Laiki Small Units 1,477
-1,186 GIC
</t>
      </text>
    </comment>
    <comment ref="L9" authorId="67" shapeId="0" xr:uid="{1663FBB2-EF99-4B66-9D5C-7281F444F923}">
      <text>
        <t>[Threaded comment]
Your version of Excel allows you to read this threaded comment; however, any edits to it will get removed if the file is opened in a newer version of Excel. Learn more: https://go.microsoft.com/fwlink/?linkid=870924
Comment:
    including 
Laiki Small Units 1,477
-1,186 GIC</t>
      </text>
    </comment>
    <comment ref="M9" authorId="68" shapeId="0" xr:uid="{825325EC-5387-441E-8FCF-2DE170B5774E}">
      <text>
        <t>[Threaded comment]
Your version of Excel allows you to read this threaded comment; however, any edits to it will get removed if the file is opened in a newer version of Excel. Learn more: https://go.microsoft.com/fwlink/?linkid=870924
Comment:
    including 
KPI 7,600
Laiki Small Units 1,477</t>
      </text>
    </comment>
    <comment ref="N9" authorId="69" shapeId="0" xr:uid="{CEE035D6-EAC7-48BE-A13D-B1FF55FD4E08}">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O9" authorId="70" shapeId="0" xr:uid="{779EAF29-365A-4EDC-8CB4-E2FB98C6CE81}">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P9" authorId="71" shapeId="0" xr:uid="{F89B743B-86E8-443B-A958-D6514B8661C2}">
      <text>
        <t>[Threaded comment]
Your version of Excel allows you to read this threaded comment; however, any edits to it will get removed if the file is opened in a newer version of Excel. Learn more: https://go.microsoft.com/fwlink/?linkid=870924
Comment:
    including 
KPI 15,775
Laiki Small Units 1,477</t>
      </text>
    </comment>
    <comment ref="X9" authorId="72" shapeId="0" xr:uid="{32D46ADD-32A8-4D6E-BC67-0A034A43C2D3}">
      <text>
        <t>[Threaded comment]
Your version of Excel allows you to read this threaded comment; however, any edits to it will get removed if the file is opened in a newer version of Excel. Learn more: https://go.microsoft.com/fwlink/?linkid=870924
Comment:
    1640425=1542011 (Stock of property)+98414 (HELIX Stock of Property)</t>
      </text>
    </comment>
    <comment ref="Y9" authorId="73" shapeId="0" xr:uid="{B590C835-BC65-4417-8494-C478062F9099}">
      <text>
        <t>[Threaded comment]
Your version of Excel allows you to read this threaded comment; however, any edits to it will get removed if the file is opened in a newer version of Excel. Learn more: https://go.microsoft.com/fwlink/?linkid=870924
Comment:
    1640425=1542011 (Stock of property)+98414 (HELIX Stock of Property)</t>
      </text>
    </comment>
    <comment ref="Z9" authorId="74" shapeId="0" xr:uid="{448AD738-A8F4-4B86-A96A-A735F45AE8FD}">
      <text>
        <t>[Threaded comment]
Your version of Excel allows you to read this threaded comment; however, any edits to it will get removed if the file is opened in a newer version of Excel. Learn more: https://go.microsoft.com/fwlink/?linkid=870924
Comment:
    1692309=1530388 (Stock of property)+73899 (HELIX Stock of Property)+88022
88022 relates to Nicosia Mall Stock of property 
see note 30 of FS</t>
      </text>
    </comment>
    <comment ref="AM10" authorId="75" shapeId="0" xr:uid="{2280DAE8-690E-4757-ACBF-897197B8DD0E}">
      <text>
        <t>[Threaded comment]
Your version of Excel allows you to read this threaded comment; however, any edits to it will get removed if the file is opened in a newer version of Excel. Learn more: https://go.microsoft.com/fwlink/?linkid=870924
Comment:
    Investment Properties 
26,866 A80120
9,385 A80130
minus
1,030 A80120 CYP004
5,825 A80130 CYP004
2,290 A80130 CYP005</t>
      </text>
    </comment>
    <comment ref="AN10" authorId="76" shapeId="0" xr:uid="{10991E38-0A2A-4279-B29E-64DAC4E20DC9}">
      <text>
        <t>[Threaded comment]
Your version of Excel allows you to read this threaded comment; however, any edits to it will get removed if the file is opened in a newer version of Excel. Learn more: https://go.microsoft.com/fwlink/?linkid=870924
Comment:
    Investment Properties 
41,508 A80120
14,106 A80130
minus
1,066 A80120 CYP004
6,243 A80130 CYP004
2,290 A80130 CYP005</t>
      </text>
    </comment>
    <comment ref="AO10" authorId="77" shapeId="0" xr:uid="{17B44FCA-96FA-4565-A538-ADE9A92E5B43}">
      <text>
        <t>[Threaded comment]
Your version of Excel allows you to read this threaded comment; however, any edits to it will get removed if the file is opened in a newer version of Excel. Learn more: https://go.microsoft.com/fwlink/?linkid=870924
Comment:
    Investment Properties 
41,508 A80120
14,106 A80130
minus
1,066 A80120 CYP004
6,243 A80130 CYP004
2,290 A80130 CYP005</t>
      </text>
    </comment>
    <comment ref="AP10" authorId="78" shapeId="0" xr:uid="{DA4E602B-4599-443A-9E2E-6B8DA663570F}">
      <text>
        <t>[Threaded comment]
Your version of Excel allows you to read this threaded comment; however, any edits to it will get removed if the file is opened in a newer version of Excel. Learn more: https://go.microsoft.com/fwlink/?linkid=870924
Comment:
    Investment Properties 48,158 A80120
13,947 A80130
minus
1,243 A80120 CYP004
6,243 A80130 CYP004
2,290 A80130 CYP005</t>
      </text>
    </comment>
    <comment ref="AQ10" authorId="79" shapeId="0" xr:uid="{1EC5CE94-EFB0-46D6-9A0F-F022F15317AF}">
      <text>
        <t>[Threaded comment]
Your version of Excel allows you to read this threaded comment; however, any edits to it will get removed if the file is opened in a newer version of Excel. Learn more: https://go.microsoft.com/fwlink/?linkid=870924
Comment:
    Investment Properties 48,158 A80120
13,947 A80130
minus
1,243 A80120 CYP004
6,243 A80130 CYP004
2,290 A80130 CYP005</t>
      </text>
    </comment>
    <comment ref="AR10" authorId="80" shapeId="0" xr:uid="{6BFAEE14-ACD5-41AD-A2BC-53AD604D835C}">
      <text>
        <t>[Threaded comment]
Your version of Excel allows you to read this threaded comment; however, any edits to it will get removed if the file is opened in a newer version of Excel. Learn more: https://go.microsoft.com/fwlink/?linkid=870924
Comment:
    Investment Properties 55,534 A80120
15,671 A80130
minus
1,243 A80120 CYP004
6,254 A80130 CYP004
2,610 A80130 CYP005</t>
      </text>
    </comment>
    <comment ref="AS10" authorId="81" shapeId="0" xr:uid="{5C133AAE-88A3-4D74-BADD-C770ADDE7FEA}">
      <text>
        <t>[Threaded comment]
Your version of Excel allows you to read this threaded comment; however, any edits to it will get removed if the file is opened in a newer version of Excel. Learn more: https://go.microsoft.com/fwlink/?linkid=870924
Comment:
    Investment Properties 57,340 A80120
16,999 A80130
minus
1,243 A80120 CYP004
6,254 A80130 CYP004
2,610 A80130 CYP005</t>
      </text>
    </comment>
    <comment ref="AT10" authorId="82" shapeId="0" xr:uid="{C97C0B8D-73B1-479B-8C3B-66FF1A78CAC0}">
      <text>
        <t>[Threaded comment]
Your version of Excel allows you to read this threaded comment; however, any edits to it will get removed if the file is opened in a newer version of Excel. Learn more: https://go.microsoft.com/fwlink/?linkid=870924
Comment:
    Investment Properties 66,527 A80120
16,533 A80130
minus
1,243 A80120 CYP004
6,254 A80130 CYP004
2,610 A80130 CYP005</t>
      </text>
    </comment>
    <comment ref="AU10" authorId="83" shapeId="0" xr:uid="{D64337B0-895A-44A6-9274-F3FC1433E660}">
      <text>
        <t>[Threaded comment]
Your version of Excel allows you to read this threaded comment; however, any edits to it will get removed if the file is opened in a newer version of Excel. Learn more: https://go.microsoft.com/fwlink/?linkid=870924
Comment:
    Investment Properties 76,235 A80120 minus
1,243 A80120 CYP004</t>
      </text>
    </comment>
    <comment ref="AV10" authorId="84" shapeId="0" xr:uid="{8BA2FA87-4CC0-4CE8-9C08-3C46D25F19D5}">
      <text>
        <t>[Threaded comment]
Your version of Excel allows you to read this threaded comment; however, any edits to it will get removed if the file is opened in a newer version of Excel. Learn more: https://go.microsoft.com/fwlink/?linkid=870924
Comment:
    Investment Properties 88,514 minus
87,935 HFS Stock of Properties 09/2022
9,227 A80130
1,186 A80120 CYP004</t>
      </text>
    </comment>
    <comment ref="AW10" authorId="85" shapeId="0" xr:uid="{57BBB889-EC4A-4040-A4C6-C007896D9C17}">
      <text>
        <t>[Threaded comment]
Your version of Excel allows you to read this threaded comment; however, any edits to it will get removed if the file is opened in a newer version of Excel. Learn more: https://go.microsoft.com/fwlink/?linkid=870924
Comment:
    Investment Properties 102,040 minus
90,083 HFS Stock of Properties 06/2022
9,231 A80130
1,186 A80120 CYP004</t>
      </text>
    </comment>
    <comment ref="AX10" authorId="86" shapeId="0" xr:uid="{F0CF1B4F-464A-4AD8-A2AA-D5476AFC281A}">
      <text>
        <t xml:space="preserve">[Threaded comment]
Your version of Excel allows you to read this threaded comment; however, any edits to it will get removed if the file is opened in a newer version of Excel. Learn more: https://go.microsoft.com/fwlink/?linkid=870924
Comment:
    Investment Properties 91,172 minus
94,394 HFS Stock of Properties 03/2022
</t>
      </text>
    </comment>
    <comment ref="AY10" authorId="87" shapeId="0" xr:uid="{F6AC3783-566A-4C15-93EC-1F7F137E6F1E}">
      <text>
        <t xml:space="preserve">[Threaded comment]
Your version of Excel allows you to read this threaded comment; however, any edits to it will get removed if the file is opened in a newer version of Excel. Learn more: https://go.microsoft.com/fwlink/?linkid=870924
Comment:
    Investment Properties 103,393 minus
98,172 HFS Stock of Properties 12/2021
</t>
      </text>
    </comment>
    <comment ref="AZ10" authorId="88" shapeId="0" xr:uid="{04AAA704-8410-453D-8315-1EB9A7E76A03}">
      <text>
        <t xml:space="preserve">[Threaded comment]
Your version of Excel allows you to read this threaded comment; however, any edits to it will get removed if the file is opened in a newer version of Excel. Learn more: https://go.microsoft.com/fwlink/?linkid=870924
Comment:
    Investment Properties 110,101 minus
100,976 HFS Stock of Properties 09/2021
</t>
      </text>
    </comment>
    <comment ref="BA10" authorId="89" shapeId="0" xr:uid="{56149233-8F93-4A40-AE43-BFE1FC9174A0}">
      <text>
        <t xml:space="preserve">[Threaded comment]
Your version of Excel allows you to read this threaded comment; however, any edits to it will get removed if the file is opened in a newer version of Excel. Learn more: https://go.microsoft.com/fwlink/?linkid=870924
Comment:
    Investment Properties 119,212 minus
</t>
      </text>
    </comment>
    <comment ref="BB10" authorId="90" shapeId="0" xr:uid="{C2417CB3-D145-4F20-ACFC-9C34274A97DC}">
      <text>
        <t>[Threaded comment]
Your version of Excel allows you to read this threaded comment; however, any edits to it will get removed if the file is opened in a newer version of Excel. Learn more: https://go.microsoft.com/fwlink/?linkid=870924
Comment:
    Investment Properties 105,070 minus
57,525+1,248 HFS Stock of Properties 12/2020
3,380+1,696 HFS Stock of Properties 03/2021</t>
      </text>
    </comment>
    <comment ref="BC10" authorId="91" shapeId="0" xr:uid="{0259F938-2CB9-492B-82FF-BCEE0C109C2E}">
      <text>
        <t>[Threaded comment]
Your version of Excel allows you to read this threaded comment; however, any edits to it will get removed if the file is opened in a newer version of Excel. Learn more: https://go.microsoft.com/fwlink/?linkid=870924
Comment:
    Investment Properties 107,121 minus
57,525+1,248 HFS Stock of Properties</t>
      </text>
    </comment>
    <comment ref="BD10" authorId="92" shapeId="0" xr:uid="{3E58394A-7770-43B8-A8C9-7DD776708194}">
      <text>
        <t>[Threaded comment]
Your version of Excel allows you to read this threaded comment; however, any edits to it will get removed if the file is opened in a newer version of Excel. Learn more: https://go.microsoft.com/fwlink/?linkid=870924
Comment:
    Investment Properties 109,072 minus
11,321 HFS Stock of Properties</t>
      </text>
    </comment>
    <comment ref="BE10" authorId="93" shapeId="0" xr:uid="{09CB27EA-9468-4CC6-BE18-59E60B2A8712}">
      <text>
        <t>[Threaded comment]
Your version of Excel allows you to read this threaded comment; however, any edits to it will get removed if the file is opened in a newer version of Excel. Learn more: https://go.microsoft.com/fwlink/?linkid=870924
Comment:
    Investment Properties 111,568 minus 10,651 HFS Stock of Properties</t>
      </text>
    </comment>
    <comment ref="BF10" authorId="94" shapeId="0" xr:uid="{D5AD18C1-6731-4EEA-8226-A7CB3EB75248}">
      <text>
        <t>[Threaded comment]
Your version of Excel allows you to read this threaded comment; however, any edits to it will get removed if the file is opened in a newer version of Excel. Learn more: https://go.microsoft.com/fwlink/?linkid=870924
Comment:
    Investment Properties</t>
      </text>
    </comment>
    <comment ref="BG10" authorId="95" shapeId="0" xr:uid="{AEE9378C-FA6A-482B-89B3-005B78FF500F}">
      <text>
        <t>[Threaded comment]
Your version of Excel allows you to read this threaded comment; however, any edits to it will get removed if the file is opened in a newer version of Excel. Learn more: https://go.microsoft.com/fwlink/?linkid=870924
Comment:
    Investment Properties</t>
      </text>
    </comment>
    <comment ref="BH10" authorId="96" shapeId="0" xr:uid="{35AC5EE0-802D-47F8-9248-1FD92E481093}">
      <text>
        <t>[Threaded comment]
Your version of Excel allows you to read this threaded comment; however, any edits to it will get removed if the file is opened in a newer version of Excel. Learn more: https://go.microsoft.com/fwlink/?linkid=870924
Comment:
    Investment Properties</t>
      </text>
    </comment>
  </commentList>
</comments>
</file>

<file path=xl/sharedStrings.xml><?xml version="1.0" encoding="utf-8"?>
<sst xmlns="http://schemas.openxmlformats.org/spreadsheetml/2006/main" count="1723" uniqueCount="719">
  <si>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</si>
  <si>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</si>
  <si>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</si>
  <si>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</si>
  <si>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</si>
  <si>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</si>
  <si>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</si>
  <si>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</si>
  <si>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</si>
  <si>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</si>
  <si>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</si>
  <si>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</si>
  <si>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</si>
  <si>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</si>
  <si>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</si>
  <si>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</si>
  <si>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</si>
  <si>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</si>
  <si>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</si>
  <si>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</si>
  <si>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</si>
  <si>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</si>
  <si>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</si>
  <si>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</si>
  <si>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</si>
  <si>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</si>
  <si>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</si>
  <si>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</si>
  <si>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</si>
  <si>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</si>
  <si>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</si>
  <si>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</si>
  <si>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</si>
  <si>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</si>
  <si>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</si>
  <si>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</si>
  <si>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</si>
  <si>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</si>
  <si>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</si>
  <si>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</si>
  <si>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</si>
  <si>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</si>
  <si>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</si>
  <si>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</si>
  <si>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Net interest income</t>
  </si>
  <si>
    <t>Net fee and commission income</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</si>
  <si>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</si>
  <si>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</si>
  <si>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</si>
  <si>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</si>
  <si>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</si>
  <si>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</si>
  <si>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Impairments of other financial and non-financial assets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</si>
  <si>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</si>
  <si>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</si>
  <si>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</si>
  <si>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</si>
  <si>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</si>
  <si>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</si>
  <si>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</si>
  <si>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</si>
  <si>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</si>
  <si>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</si>
  <si>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</si>
  <si>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</si>
  <si>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</si>
  <si>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</si>
  <si>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</si>
  <si>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</si>
  <si>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</si>
  <si>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</si>
  <si>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</si>
  <si>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</si>
  <si>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</si>
  <si>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</si>
  <si>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</si>
  <si>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</si>
  <si>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</si>
  <si>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</si>
  <si>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</si>
  <si>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</si>
  <si>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</si>
  <si>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</si>
  <si>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</si>
  <si>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</si>
  <si>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</si>
  <si>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</si>
  <si>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</si>
  <si>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</si>
  <si>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</si>
  <si>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</si>
  <si>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</si>
  <si>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</si>
  <si>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</si>
  <si>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</si>
  <si>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</si>
  <si>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</si>
  <si>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</si>
  <si>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</si>
  <si>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</si>
  <si>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</si>
  <si>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</si>
  <si>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</si>
  <si>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</si>
  <si>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</si>
  <si>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United Kingdom</t>
  </si>
  <si>
    <t xml:space="preserve">Romania </t>
  </si>
  <si>
    <t>AS T01 (Key financials-IS)</t>
  </si>
  <si>
    <t>AS T02 (Key financials-BS)</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</si>
  <si>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</si>
  <si>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</si>
  <si>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</si>
  <si>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</si>
  <si>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</si>
  <si>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</si>
  <si>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</si>
  <si>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</si>
  <si>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</si>
  <si>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</si>
  <si>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</si>
  <si>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</si>
  <si>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</si>
  <si>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</si>
  <si>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</si>
  <si>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</si>
  <si>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</si>
  <si>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</si>
  <si>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</si>
  <si>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</si>
  <si>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</si>
  <si>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</si>
  <si>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</si>
  <si>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</si>
  <si>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</si>
  <si>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</si>
  <si>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</si>
  <si>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</si>
  <si>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</si>
  <si>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</si>
  <si>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</si>
  <si>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</si>
  <si>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</si>
  <si>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</si>
  <si>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</si>
  <si>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</si>
  <si>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</si>
  <si>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</si>
  <si>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</si>
  <si>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</si>
  <si>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</si>
  <si>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</si>
  <si>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</si>
  <si>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</si>
  <si>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Total NPE</t>
  </si>
  <si>
    <t xml:space="preserve">Total Cyprus NPE Provision coverage </t>
  </si>
  <si>
    <t xml:space="preserve">Total Group NPE Provision coverage </t>
  </si>
  <si>
    <t>Bank of Cyprus - Real Estate Management Unit</t>
  </si>
  <si>
    <t>Additions</t>
  </si>
  <si>
    <t>Residential properties</t>
  </si>
  <si>
    <t>Offices and other commercial properties</t>
  </si>
  <si>
    <t>Manufacturing and industrial properties</t>
  </si>
  <si>
    <t>Hotels</t>
  </si>
  <si>
    <t>Land (fields and plots)</t>
  </si>
  <si>
    <t>Properties under construction</t>
  </si>
  <si>
    <t xml:space="preserve">Capital </t>
  </si>
  <si>
    <t xml:space="preserve">Risk Weighted Assets by Geography </t>
  </si>
  <si>
    <t xml:space="preserve">Russia </t>
  </si>
  <si>
    <t>Romania</t>
  </si>
  <si>
    <t xml:space="preserve">Greece </t>
  </si>
  <si>
    <t>Capital Position</t>
  </si>
  <si>
    <t>Regulatory capital</t>
  </si>
  <si>
    <t>Transitional Additional Tier 1 capital (AT1)</t>
  </si>
  <si>
    <t>Tier 2 capital (T2)</t>
  </si>
  <si>
    <t>Risk weighted assets – market risk</t>
  </si>
  <si>
    <t>Risk weighted assets – operational risk</t>
  </si>
  <si>
    <t>Casting</t>
  </si>
  <si>
    <t>B-</t>
  </si>
  <si>
    <t>B</t>
  </si>
  <si>
    <t>b-</t>
  </si>
  <si>
    <t xml:space="preserve">Not Prime </t>
  </si>
  <si>
    <t xml:space="preserve">Positive </t>
  </si>
  <si>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</si>
  <si>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</si>
  <si>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</si>
  <si>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</si>
  <si>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</si>
  <si>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</si>
  <si>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</si>
  <si>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</si>
  <si>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</si>
  <si>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Cost of risk including impairments of other financial instruments</t>
  </si>
  <si>
    <t>Gross loans</t>
  </si>
  <si>
    <t>Non-performing exposures (NPEs)</t>
  </si>
  <si>
    <t>Operating profit</t>
  </si>
  <si>
    <t>Definitions</t>
  </si>
  <si>
    <t>[3] Includes Credit Valuation Adjustments (CVA).</t>
  </si>
  <si>
    <t xml:space="preserve">Bank of Cyprus Group - Capital </t>
  </si>
  <si>
    <t>By currency</t>
  </si>
  <si>
    <t>Euro</t>
  </si>
  <si>
    <t>British pound</t>
  </si>
  <si>
    <t>Russian Rouble</t>
  </si>
  <si>
    <t>US Dollar</t>
  </si>
  <si>
    <t>Swiss Franc</t>
  </si>
  <si>
    <t>Other Currencies</t>
  </si>
  <si>
    <t>Leverage ratio</t>
  </si>
  <si>
    <r>
      <t>90+ DPD</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</si>
  <si>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</si>
  <si>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</si>
  <si>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</si>
  <si>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</si>
  <si>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</si>
  <si>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</si>
  <si>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</si>
  <si>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</si>
  <si>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</si>
  <si>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</si>
  <si>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</si>
  <si>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loan to deposit ratio</t>
  </si>
  <si>
    <t>NPE ratio</t>
  </si>
  <si>
    <t>90+ DPD Provision coverage (Cyprus operations)</t>
  </si>
  <si>
    <t>90+ DPD Total coverage (Cyprus operations)</t>
  </si>
  <si>
    <t>Profit/(loss) after tax attributable to shareholders</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</si>
  <si>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</si>
  <si>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</si>
  <si>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</si>
  <si>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</si>
  <si>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</si>
  <si>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</si>
  <si>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</si>
  <si>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</si>
  <si>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</si>
  <si>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</si>
  <si>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</si>
  <si>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Credit Quality Total</t>
  </si>
  <si>
    <t>Credit quality Cyprus</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</si>
  <si>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</si>
  <si>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</si>
  <si>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</si>
  <si>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</si>
  <si>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</si>
  <si>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</si>
  <si>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t>S&amp;P</t>
  </si>
  <si>
    <t>Long-term Issuer</t>
  </si>
  <si>
    <t>Short-term Issuer</t>
  </si>
  <si>
    <t>Positive</t>
  </si>
  <si>
    <t>Dec 17 vs Sep 17 (qoq%)</t>
  </si>
  <si>
    <t>Dec 17 vs Dec 16 (yoy%)</t>
  </si>
  <si>
    <t>Jan-Dec 2017</t>
  </si>
  <si>
    <t>Negative interest on loans and advances to banks and central banks</t>
  </si>
  <si>
    <t>Net Stable Funding Ratio (NSFR)</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</si>
  <si>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</si>
  <si>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</si>
  <si>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</si>
  <si>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</si>
  <si>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</si>
  <si>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</si>
  <si>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</si>
  <si>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</si>
  <si>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</si>
  <si>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</si>
  <si>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</si>
  <si>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SMEs</t>
  </si>
  <si>
    <t>Housing</t>
  </si>
  <si>
    <t>Consumer Credit</t>
  </si>
  <si>
    <t>RRD-Major Corporates</t>
  </si>
  <si>
    <t>RRD-SMEs</t>
  </si>
  <si>
    <t>RRD-Retail</t>
  </si>
  <si>
    <t>RRD-Recoveries Corporate</t>
  </si>
  <si>
    <t>RRD Recoveries SMEs&amp;Retail</t>
  </si>
  <si>
    <t>Asset Quality - NPE analysis</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</si>
  <si>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</si>
  <si>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</si>
  <si>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</si>
  <si>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</si>
  <si>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</si>
  <si>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</si>
  <si>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</si>
  <si>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</si>
  <si>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</si>
  <si>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</si>
  <si>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</si>
  <si>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</si>
  <si>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</si>
  <si>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</si>
  <si>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</si>
  <si>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</si>
  <si>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</si>
  <si>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</si>
  <si>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</si>
  <si>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</si>
  <si>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</si>
  <si>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</si>
  <si>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</si>
  <si>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</si>
  <si>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</si>
  <si>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</si>
  <si>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</si>
  <si>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</si>
  <si>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</si>
  <si>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</si>
  <si>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</si>
  <si>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</si>
  <si>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</si>
  <si>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</si>
  <si>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</si>
  <si>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</si>
  <si>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t>Jan-Sep 2018</t>
  </si>
  <si>
    <t>B+</t>
  </si>
  <si>
    <t>Stable</t>
  </si>
  <si>
    <t>Jan-Dec 2018</t>
  </si>
  <si>
    <t>Jan-Mar 2019</t>
  </si>
  <si>
    <t>CET1 capital ratio (transitional basis)</t>
  </si>
  <si>
    <t>Relates to the contribution made to the Single Resolution Fund.</t>
  </si>
  <si>
    <t>Loan credit losses (PL) (previously ‘Provision charge’)</t>
  </si>
  <si>
    <t>New lending</t>
  </si>
  <si>
    <t>Non-recurring items</t>
  </si>
  <si>
    <t>NPE coverage ratio (previously ‘NPE Provisioning coverage ratio’)</t>
  </si>
  <si>
    <t>Phased-in Capital Conservation Buffer (CCB)</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</si>
  <si>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</si>
  <si>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</si>
  <si>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</si>
  <si>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</si>
  <si>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</si>
  <si>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</si>
  <si>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</si>
  <si>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Jan-Sept 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</si>
  <si>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</si>
  <si>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</si>
  <si>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</si>
  <si>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</si>
  <si>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</si>
  <si>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</si>
  <si>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</si>
  <si>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</si>
  <si>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</si>
  <si>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</si>
  <si>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Excludes non-recurring items (as defined)</t>
  </si>
  <si>
    <t xml:space="preserve">Total income </t>
  </si>
  <si>
    <t>Underlying basis</t>
  </si>
  <si>
    <t>Write offs</t>
  </si>
  <si>
    <t>Jan-Dec 2019</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</si>
  <si>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</si>
  <si>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</si>
  <si>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</si>
  <si>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</si>
  <si>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[3] As from the period ended 31 December 2019, Global Corporate Banking represents a separate business line.  Previously Global Corporate Banking was disclosed within the Corporate Banking business line. </t>
  </si>
  <si>
    <t>Jan-March 2020</t>
  </si>
  <si>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</si>
  <si>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</si>
  <si>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</si>
  <si>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</si>
  <si>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</si>
  <si>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Jan-June 2020</t>
  </si>
  <si>
    <t>Project Helix</t>
  </si>
  <si>
    <t>Project Helix 2</t>
  </si>
  <si>
    <t>Jan-Sept 2020</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</si>
  <si>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</si>
  <si>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Jan-Dec 2020</t>
  </si>
  <si>
    <t>DTC</t>
  </si>
  <si>
    <t>EBA</t>
  </si>
  <si>
    <t>Deferred Tax Credit</t>
  </si>
  <si>
    <t>European Banking Authority</t>
  </si>
  <si>
    <t>Jan-March 2021</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</si>
  <si>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</si>
  <si>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Jan-June 2021</t>
  </si>
  <si>
    <t>Project Helix refers to the sale of a portfolio of loans with a gross book value of €2.8 bn completed in June 2019.</t>
  </si>
  <si>
    <t>Jan-Sept 2021</t>
  </si>
  <si>
    <t>Jan-Dec 2021</t>
  </si>
  <si>
    <t>b2</t>
  </si>
  <si>
    <t>Ba3</t>
  </si>
  <si>
    <t xml:space="preserve">Ba2 (cr)/Not Prime (cr) </t>
  </si>
  <si>
    <t>Jan-Mar 2022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</si>
  <si>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</si>
  <si>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</si>
  <si>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</si>
  <si>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t>
  </si>
  <si>
    <t>Jan-Sept 2022</t>
  </si>
  <si>
    <t>BB-</t>
  </si>
  <si>
    <t>b1</t>
  </si>
  <si>
    <t>Ba2</t>
  </si>
  <si>
    <t xml:space="preserve">Ba1 (cr)/Not Prime (cr) </t>
  </si>
  <si>
    <t>Jan-Dec 2022</t>
  </si>
  <si>
    <t>b+</t>
  </si>
  <si>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</si>
  <si>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</si>
  <si>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</si>
  <si>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</si>
  <si>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</si>
  <si>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</si>
  <si>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</si>
  <si>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</si>
  <si>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</si>
  <si>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</si>
  <si>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</si>
  <si>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</si>
  <si>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</si>
  <si>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</si>
  <si>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</si>
  <si>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</si>
  <si>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</si>
  <si>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t>[4] Risk weighted assets over Total Assets.</t>
  </si>
  <si>
    <t>2Q2023</t>
  </si>
  <si>
    <t>06M2023</t>
  </si>
  <si>
    <t>Jan-Jun 2023</t>
  </si>
  <si>
    <t>ba3</t>
  </si>
  <si>
    <t xml:space="preserve">Ba1 </t>
  </si>
  <si>
    <t xml:space="preserve">Baa3 (cr)/P-3 (cr) </t>
  </si>
  <si>
    <r>
      <t>Large corporate</t>
    </r>
    <r>
      <rPr>
        <vertAlign val="superscript"/>
        <sz val="9"/>
        <color theme="1"/>
        <rFont val="Arial"/>
        <family val="2"/>
        <charset val="161"/>
      </rPr>
      <t>3, 5, 6</t>
    </r>
  </si>
  <si>
    <t>Advisory and other tranformation/restructuring costs</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</si>
  <si>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</si>
  <si>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</si>
  <si>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</si>
  <si>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</si>
  <si>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</si>
  <si>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</si>
  <si>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</si>
  <si>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</si>
  <si>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</si>
  <si>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This refers to the statutory basis after being adjusted for reclassifications of certain items as explained in the Basis of Presentation.</t>
  </si>
  <si>
    <t>3Q2023</t>
  </si>
  <si>
    <t>09M2023</t>
  </si>
  <si>
    <t>Jan-Sep 2023</t>
  </si>
  <si>
    <t>Comprises (i) allowance for expected credit losses (ECL) on loans and advances to customers (including allowance for expected credit losses on loans and advances to customers classified as non-current assets held for sale, where applicable), (ii) the residual fair value adjustment on initial recognition of loans and advances to customers (including residual fair value adjustment on initial recognition of loans and advances to customers held for sale, where applicable), (iii) allowance for expected credit losses on off-balance sheet exposures (financial guarantees and commitments) disclosed on the balance sheet within other liabilities and (iv) the aggregate fair value adjustment on loans and advances to customers classified and measured at FVPL.</t>
  </si>
  <si>
    <t xml:space="preserve">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</si>
  <si>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Allowance for expected loan credit losses (previously ‘Accumulated provisions’) </t>
  </si>
  <si>
    <t xml:space="preserve">AT1 (Additional Tier 1) is defined in accordance with the Capital Requirements Regulation (EU) No 575/2013, as amended by CRR II applicable as at the reporting date. </t>
  </si>
  <si>
    <t xml:space="preserve">Loan credit losses charge (previously ‘Provisioning charge’) (cost of risk) </t>
  </si>
  <si>
    <t>Loan credit losses charge (cost of risk) (year-to-date)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</si>
  <si>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The NSFR is calculated as the amount of “available stable funding” (ASF) relative to the amount of “required stable funding” (RSF). The regulatory limit, enforced in June 2021, has been set at 100% as per the CRR II.  </t>
  </si>
  <si>
    <t>Non-recurring items as presented in the ‘Consolidated Income Statement on the underlying basis’ relate to ‘Advisory and other transformation costs – organic’ (2022: Non-recurring items relate to: (i) Advisory and Other transformation costs-ongoing (ii) Provisions/net loss relating to NPE sales, (iii) Restructuring and other costs relating to NPE sales, and (iv) Restructuring costs – Voluntary Staff Exit Plan (VEP), as applicable).</t>
  </si>
  <si>
    <t>Total loan credit losses, impairments and provisions comprises loan credit losses (as defined), plus impairments of other financial and non-financial assets, plus provisions for pending litigations, claims, regulatory and other matters (net of reversals).</t>
  </si>
  <si>
    <t>Adjusted recurring profitability</t>
  </si>
  <si>
    <t xml:space="preserve">The Group’s profit after tax before non-recurring items (attributable to the owners of the Company) taking into account distributions under other equity instruments such as the annual AT1 coupon. </t>
  </si>
  <si>
    <t>Basic earnings after tax per share (attributable to the owners of the Company)</t>
  </si>
  <si>
    <t xml:space="preserve">Basic earnings after tax per share (attributable to the owners of the Company) is the Profit/(loss) after tax (attributable to the owners of the Company) divided by the weighted average number of shares in issue during the period, excluding treasury shares. </t>
  </si>
  <si>
    <t xml:space="preserve">Diluted earnings per share </t>
  </si>
  <si>
    <t xml:space="preserve">Diluted earnings per share is the Profit/(loss) after tax (attributable to the owners of the Company) divided by the weighted average number of ordinary shares in issue adjusted for the ordinary shares that may arise in respect of share awards granted to executive directors and senior management of the Group under the Long-Term Incentive Plan (2022 LTIP). </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</si>
  <si>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</si>
  <si>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</si>
  <si>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This refers to the profit or loss after tax (attributable to the owners of the Company), excluding any ‘non-recurring items’ (as defined, except for the ‘advisory and other transformation costs – organic’).</t>
  </si>
  <si>
    <t>Project Sinope</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</si>
  <si>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</si>
  <si>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Shareholders’ equity</t>
  </si>
  <si>
    <t xml:space="preserve">Shareholders’ equity comprise total equity adjusted for non-controlling interest and other equity instruments. </t>
  </si>
  <si>
    <t>ba2</t>
  </si>
  <si>
    <t xml:space="preserve">Baa3    </t>
  </si>
  <si>
    <t>P-3</t>
  </si>
  <si>
    <t xml:space="preserve">Baa2 (cr)/P-2 (cr) </t>
  </si>
  <si>
    <t>Provisions/net profit/(loss) relating to NPE sales</t>
  </si>
  <si>
    <t>Restructuring and other costs relating to NPE sales</t>
  </si>
  <si>
    <t>Fee and Commission income to Total income</t>
  </si>
  <si>
    <t xml:space="preserve">Operating profit return on average assets (annualised) </t>
  </si>
  <si>
    <r>
      <t xml:space="preserve">Net insurance result </t>
    </r>
    <r>
      <rPr>
        <vertAlign val="superscript"/>
        <sz val="9"/>
        <color theme="1"/>
        <rFont val="Arial"/>
        <family val="2"/>
        <charset val="161"/>
      </rPr>
      <t>1</t>
    </r>
  </si>
  <si>
    <t>As per the European Banking Authorities (EBA) standards and European Central Bank’s (ECB) Guidance to Banks on Non-Performing Loans (which was published in March 2017), non-performing exposures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Central Bank of Cyprus (CBC), which are more than 90 days past due. 
   (iv) Performing forborne exposures under probation for which additional forbearance measures are extended. 
   (v)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</si>
  <si>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[1] Net loans and advances to customers and Stock of property as at 30 September 2022 include loans/properties classified as held for sale with carrying value €236 mn and €88 mn respectively (30 June 2022: €247 mn and €90 mn respectively, 31 March 2022: €248 mn and €94 mn respectively).</t>
  </si>
  <si>
    <r>
      <t xml:space="preserve">Net loans and advances to customers </t>
    </r>
    <r>
      <rPr>
        <vertAlign val="superscript"/>
        <sz val="9"/>
        <color rgb="FF000000"/>
        <rFont val="Arial"/>
        <family val="2"/>
        <charset val="161"/>
      </rPr>
      <t>1</t>
    </r>
    <r>
      <rPr>
        <sz val="9"/>
        <color rgb="FF000000"/>
        <rFont val="Arial"/>
        <family val="2"/>
        <charset val="161"/>
      </rPr>
      <t xml:space="preserve"> </t>
    </r>
  </si>
  <si>
    <r>
      <t xml:space="preserve">Stock of property </t>
    </r>
    <r>
      <rPr>
        <vertAlign val="superscript"/>
        <sz val="9"/>
        <color rgb="FF000000"/>
        <rFont val="Arial"/>
        <family val="2"/>
        <charset val="161"/>
      </rPr>
      <t>1</t>
    </r>
  </si>
  <si>
    <t>90+ DPD</t>
  </si>
  <si>
    <t>90+ DPD coverage ratio</t>
  </si>
  <si>
    <r>
      <t xml:space="preserve">Provisions for impairment of customer loans  net  of gains/(losses) on derecognition of loans and  changes in expected cash flows </t>
    </r>
    <r>
      <rPr>
        <vertAlign val="superscript"/>
        <sz val="9"/>
        <color theme="1"/>
        <rFont val="Arial"/>
        <family val="2"/>
        <charset val="161"/>
      </rPr>
      <t>1</t>
    </r>
  </si>
  <si>
    <r>
      <t xml:space="preserve">Cost of Risk </t>
    </r>
    <r>
      <rPr>
        <b/>
        <vertAlign val="superscript"/>
        <sz val="9"/>
        <color theme="0"/>
        <rFont val="Arial"/>
        <family val="2"/>
        <charset val="161"/>
      </rPr>
      <t>2</t>
    </r>
    <r>
      <rPr>
        <b/>
        <sz val="9"/>
        <color theme="0"/>
        <rFont val="Arial"/>
        <family val="2"/>
        <charset val="161"/>
      </rPr>
      <t xml:space="preserve"> (YTD)</t>
    </r>
  </si>
  <si>
    <r>
      <t xml:space="preserve">Large corporate </t>
    </r>
    <r>
      <rPr>
        <vertAlign val="superscript"/>
        <sz val="9"/>
        <color theme="1"/>
        <rFont val="Arial"/>
        <family val="2"/>
        <charset val="161"/>
      </rPr>
      <t>3</t>
    </r>
  </si>
  <si>
    <r>
      <t xml:space="preserve">International Corporate </t>
    </r>
    <r>
      <rPr>
        <vertAlign val="superscript"/>
        <sz val="9"/>
        <color theme="1"/>
        <rFont val="Arial"/>
        <family val="2"/>
        <charset val="161"/>
      </rPr>
      <t>3</t>
    </r>
  </si>
  <si>
    <t>[1] Other countries: Russia and Romania.</t>
  </si>
  <si>
    <t>Stock as at 1 January</t>
  </si>
  <si>
    <t>Sales</t>
  </si>
  <si>
    <t xml:space="preserve">Transfer to/from own properties </t>
  </si>
  <si>
    <t>Impairment loss, FX and other movements</t>
  </si>
  <si>
    <r>
      <t xml:space="preserve">Other </t>
    </r>
    <r>
      <rPr>
        <vertAlign val="superscript"/>
        <sz val="9"/>
        <color theme="1"/>
        <rFont val="Arial"/>
        <family val="2"/>
        <charset val="161"/>
      </rPr>
      <t>1</t>
    </r>
    <r>
      <rPr>
        <sz val="9"/>
        <color theme="1"/>
        <rFont val="Arial"/>
        <family val="2"/>
        <charset val="161"/>
      </rPr>
      <t xml:space="preserve"> </t>
    </r>
  </si>
  <si>
    <r>
      <t xml:space="preserve">Risk weighted assets – credit risk </t>
    </r>
    <r>
      <rPr>
        <vertAlign val="superscript"/>
        <sz val="9"/>
        <color theme="1"/>
        <rFont val="Arial"/>
        <family val="2"/>
        <charset val="161"/>
      </rPr>
      <t>3</t>
    </r>
  </si>
  <si>
    <r>
      <t xml:space="preserve">RWA Intensity </t>
    </r>
    <r>
      <rPr>
        <b/>
        <vertAlign val="superscript"/>
        <sz val="9"/>
        <color theme="1"/>
        <rFont val="Arial"/>
        <family val="2"/>
        <charset val="161"/>
      </rPr>
      <t>4</t>
    </r>
    <r>
      <rPr>
        <b/>
        <sz val="9"/>
        <color theme="1"/>
        <rFont val="Arial"/>
        <family val="2"/>
        <charset val="161"/>
      </rPr>
      <t xml:space="preserve"> (%)</t>
    </r>
  </si>
  <si>
    <r>
      <t xml:space="preserve">Stock at the end of period </t>
    </r>
    <r>
      <rPr>
        <b/>
        <vertAlign val="superscript"/>
        <sz val="9"/>
        <rFont val="Arial"/>
        <family val="2"/>
        <charset val="161"/>
      </rPr>
      <t>1,</t>
    </r>
    <r>
      <rPr>
        <b/>
        <sz val="9"/>
        <rFont val="Arial"/>
        <family val="2"/>
        <charset val="161"/>
      </rPr>
      <t xml:space="preserve"> </t>
    </r>
    <r>
      <rPr>
        <b/>
        <vertAlign val="superscript"/>
        <sz val="9"/>
        <rFont val="Arial"/>
        <family val="2"/>
        <charset val="161"/>
      </rPr>
      <t>2</t>
    </r>
  </si>
  <si>
    <t>Investment properties</t>
  </si>
  <si>
    <t xml:space="preserve">Mar-22 </t>
  </si>
  <si>
    <t xml:space="preserve">Jun-22 </t>
  </si>
  <si>
    <t xml:space="preserve">Sep-22 </t>
  </si>
  <si>
    <t xml:space="preserve">4Q2022 </t>
  </si>
  <si>
    <t xml:space="preserve">3Q2022 </t>
  </si>
  <si>
    <t xml:space="preserve">2Q2022 </t>
  </si>
  <si>
    <t xml:space="preserve">1Q2022 </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</si>
  <si>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Project Helix 2 and Project Helix 3, as well as other portfolios.</t>
  </si>
  <si>
    <t xml:space="preserve">Loans and advances to banks and central banks </t>
  </si>
  <si>
    <r>
      <t xml:space="preserve">4Q2022 </t>
    </r>
    <r>
      <rPr>
        <b/>
        <vertAlign val="superscript"/>
        <sz val="9"/>
        <color theme="1"/>
        <rFont val="Arial"/>
        <family val="2"/>
        <charset val="161"/>
      </rPr>
      <t>1</t>
    </r>
  </si>
  <si>
    <r>
      <t xml:space="preserve">3Q2022 </t>
    </r>
    <r>
      <rPr>
        <b/>
        <vertAlign val="superscript"/>
        <sz val="9"/>
        <color theme="1"/>
        <rFont val="Arial"/>
        <family val="2"/>
        <charset val="161"/>
      </rPr>
      <t>1</t>
    </r>
  </si>
  <si>
    <r>
      <t xml:space="preserve">2Q2022 </t>
    </r>
    <r>
      <rPr>
        <b/>
        <vertAlign val="superscript"/>
        <sz val="9"/>
        <color theme="1"/>
        <rFont val="Arial"/>
        <family val="2"/>
        <charset val="161"/>
      </rPr>
      <t>1</t>
    </r>
  </si>
  <si>
    <r>
      <t xml:space="preserve">1Q2022 </t>
    </r>
    <r>
      <rPr>
        <b/>
        <vertAlign val="superscript"/>
        <sz val="9"/>
        <color theme="1"/>
        <rFont val="Arial"/>
        <family val="2"/>
        <charset val="161"/>
      </rPr>
      <t>1</t>
    </r>
  </si>
  <si>
    <t>[1] Total Stock excludes investment properties and stock of property classified as held for sale with carrying value of €88m as at 30 September 2022 (€90m as at 30 June 2022, €94m as at 31 March 2022).</t>
  </si>
  <si>
    <t>[1] Other Countries include Russia and Romania.</t>
  </si>
  <si>
    <t>[1] Non performing exposures as per EBA definition.</t>
  </si>
  <si>
    <t>[2] Other countries:  Russia and Romania.</t>
  </si>
  <si>
    <t>[2] Loan credit losses charge (cost of risk) (year to date) is calculated as the ‘loan credit losses’ divided by average gross loans (the average balance calculated as the average of the opening balance and the closing balance).</t>
  </si>
  <si>
    <t xml:space="preserve">[1] Provisions for impairment of customer loans  net  of gains/(losses) on derecognition of loans and  changes in expected cash flows exclude charge for 4Q2022 relating to NPEs portfolio (Helix 3) of €2 mn (reversal), 3Q2022 of €1 mn, 2Q2022 of €1 mn (reversal), 1Q2022 of €1.4 mn). </t>
  </si>
  <si>
    <r>
      <t xml:space="preserve">Sep-23 </t>
    </r>
    <r>
      <rPr>
        <b/>
        <vertAlign val="superscript"/>
        <sz val="9"/>
        <color theme="1"/>
        <rFont val="Arial"/>
        <family val="2"/>
        <charset val="161"/>
      </rPr>
      <t>3, 4</t>
    </r>
  </si>
  <si>
    <r>
      <t xml:space="preserve">Jun-23 </t>
    </r>
    <r>
      <rPr>
        <b/>
        <vertAlign val="superscript"/>
        <sz val="9"/>
        <color theme="1"/>
        <rFont val="Arial"/>
        <family val="2"/>
        <charset val="161"/>
      </rPr>
      <t>3</t>
    </r>
  </si>
  <si>
    <r>
      <t xml:space="preserve">Mar-23 </t>
    </r>
    <r>
      <rPr>
        <b/>
        <vertAlign val="superscript"/>
        <sz val="9"/>
        <color theme="1"/>
        <rFont val="Arial"/>
        <family val="2"/>
        <charset val="161"/>
      </rPr>
      <t>5</t>
    </r>
  </si>
  <si>
    <r>
      <t xml:space="preserve">Sep-23 </t>
    </r>
    <r>
      <rPr>
        <b/>
        <vertAlign val="superscript"/>
        <sz val="9"/>
        <color theme="1"/>
        <rFont val="Arial"/>
        <family val="2"/>
        <charset val="161"/>
      </rPr>
      <t>6, 7</t>
    </r>
  </si>
  <si>
    <r>
      <t xml:space="preserve">Jun-23 </t>
    </r>
    <r>
      <rPr>
        <b/>
        <vertAlign val="superscript"/>
        <sz val="9"/>
        <color theme="1"/>
        <rFont val="Arial"/>
        <family val="2"/>
        <charset val="161"/>
      </rPr>
      <t>6</t>
    </r>
  </si>
  <si>
    <r>
      <t xml:space="preserve">Mar-23 </t>
    </r>
    <r>
      <rPr>
        <b/>
        <vertAlign val="superscript"/>
        <sz val="9"/>
        <color theme="1"/>
        <rFont val="Arial"/>
        <family val="2"/>
        <charset val="161"/>
      </rPr>
      <t>8</t>
    </r>
  </si>
  <si>
    <r>
      <t xml:space="preserve">Dec-22 </t>
    </r>
    <r>
      <rPr>
        <b/>
        <vertAlign val="superscript"/>
        <sz val="9"/>
        <color theme="1"/>
        <rFont val="Arial"/>
        <family val="2"/>
        <charset val="161"/>
      </rPr>
      <t>9</t>
    </r>
  </si>
  <si>
    <t>[3] As from the period ended 31 December 2022, International Corporate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</si>
  <si>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t>Transitional total regulatory capital</t>
  </si>
  <si>
    <r>
      <t xml:space="preserve">Transitional Common Equity Tier 1 (CET1) </t>
    </r>
    <r>
      <rPr>
        <vertAlign val="superscript"/>
        <sz val="9"/>
        <rFont val="Arial"/>
        <family val="2"/>
        <charset val="161"/>
      </rPr>
      <t>2</t>
    </r>
  </si>
  <si>
    <t>4Q2023</t>
  </si>
  <si>
    <t>12M2023</t>
  </si>
  <si>
    <t>Jan-Dec 2023</t>
  </si>
  <si>
    <t xml:space="preserve">Net interest margin is calculated as the net interest income (annualised) divided by the quarterly average interest earning assets (as defined). Interest earning assets include: cash and balances with central banks (including cash and balances with central banks classified as non-current assets held for sale, where applicable),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</si>
  <si>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</si>
  <si>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Reverse repurchase agreements</t>
  </si>
  <si>
    <t>Repurchase agreements</t>
  </si>
  <si>
    <t>[1]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 Net insurance result comprises the aggregate of captions ‘Net insurance finance income/(expense) and net reinsurance finance income/(expenses)’, ‘Net insurance service result’ and ‘Net reinsurance service result’ per the statutory basis.</t>
  </si>
  <si>
    <t>BB</t>
  </si>
  <si>
    <t>bb</t>
  </si>
  <si>
    <t xml:space="preserve">[2] CET1 includes regulatory deductions, comprising, amongst others, deferred tax assets (until 31 December 2018) and intangible assets. </t>
  </si>
  <si>
    <t>1Q2024</t>
  </si>
  <si>
    <t>03M2024</t>
  </si>
  <si>
    <t xml:space="preserve">Mar-24 </t>
  </si>
  <si>
    <t>Jan-Mar 2024</t>
  </si>
  <si>
    <r>
      <t xml:space="preserve">Dec-23 </t>
    </r>
    <r>
      <rPr>
        <b/>
        <vertAlign val="superscript"/>
        <sz val="9"/>
        <color theme="1"/>
        <rFont val="Arial"/>
        <family val="2"/>
        <charset val="161"/>
      </rPr>
      <t>11</t>
    </r>
  </si>
  <si>
    <t>Debt securities in issue and Subordinated loan stock</t>
  </si>
  <si>
    <t>Tangible book value per share</t>
  </si>
  <si>
    <t xml:space="preserve">Tangible book value per share excluding the cash dividend </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</si>
  <si>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and geopolitical developments.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forward-looking statement contained in this document to reflect any change in the Group’s expectations or any change in events, conditions or circumstances on which any statement is based. Changes in our reporting frameworks and accounting standards, which may have a material impact on the way we prepare our financial statements and may negatively affect the profitability of Group’s insurance business.
</t>
  </si>
  <si>
    <t>Real Estate Management Unit (REMU) - REPOSSESSED PROPERTIES</t>
  </si>
  <si>
    <t>Real Estate Management Unit (REMU) - REPOSSESSED AND NON-REPOSSESSED</t>
  </si>
  <si>
    <t>2Q2024</t>
  </si>
  <si>
    <t>06M2024</t>
  </si>
  <si>
    <t xml:space="preserve">Jun-24 </t>
  </si>
  <si>
    <t>Jan-Jun 2024</t>
  </si>
  <si>
    <t>BB+</t>
  </si>
  <si>
    <t>Return on Tangible Equity (ROTE) is calculated as Profit/(loss) after tax (attributable to the owners of the Company) (as defined) (annualised - (based on year to date days)), divided by the quarterly average of Shareholders’ equity minus intangible assets at each quarter/year end.</t>
  </si>
  <si>
    <t>Return on Tangible equity (ROTE) on 15% CET1 ratio, excluding amounts reserved for distributions</t>
  </si>
  <si>
    <t>Return on Tangible Equity (ROTE) on 15% CET1 ratio, excluding amounts reserved for distributions is calculated as Profit/(loss) after tax (attributable to the owners of the Company) (as defined) (annualised - (based on year - to - date days)), divided by the quarterly average of Shareholders’ equity minus intangible assets at each quarter/year end and after deducting the excess CET1 capital on a 15% CET1 ratio from the tangible book value.</t>
  </si>
  <si>
    <t>Calculated as the total equity attributable to the owners of the Company, (i.e. not including other equity instruments, such as AT1) less intangible assets at each quarter/year end divided by the number of ordinary shares at the end of the period/year, excluding treasury shares.</t>
  </si>
  <si>
    <t>Calculated as the total equity attributable to the owners of the Company, (i.e. not including other equity instruments, such as AT1) less intangible assets at each quarter/year end and the amounts of cash dividend recommended for distribution in respect of earnings of the relevant year the dividend relates to, divided by the number of ordinary shares at the end of the period/year, excluding treasury shares..</t>
  </si>
  <si>
    <t>[4] By the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</si>
  <si>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[5] By the reference to the capital ratios, these exclude interim profits. </t>
  </si>
  <si>
    <t>[6] By the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</si>
  <si>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[11] By reference to the capital ratios, these include profits for the year ended 31 December 2023 and a deduction for a Distribution in respect of 2023 earnings of €137 million (representing a 30% payout), following approval received by the ECB in March 2024 and relevant ecommendation by the Board of Directors to the shareholders for a final cash dividend of €112 million and in principle approval by the Board to undertake a share buyback of ordinary shares of the Company for an aggregate consideration of up to €25 million and in compliance with the terms of the ECB approval.</t>
  </si>
  <si>
    <t>[7]  By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</si>
  <si>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[8]  By reference to the capital ratios, these exclude interim profits. </t>
  </si>
  <si>
    <t>[9]  By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</si>
  <si>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r>
      <t xml:space="preserve">Large corporate </t>
    </r>
    <r>
      <rPr>
        <vertAlign val="superscript"/>
        <sz val="9"/>
        <color theme="1"/>
        <rFont val="Arial"/>
        <family val="2"/>
        <charset val="161"/>
      </rPr>
      <t>5, 6</t>
    </r>
  </si>
  <si>
    <t xml:space="preserve">[6] As from the period ended 31 December 2022, Corporate and Large corporate is disclosed in one line.  Previously Corporate  was disclosed in a separate line and Large corporate along with the International Corporate were disclosed within the Global Corporate Banking business line. </t>
  </si>
  <si>
    <t xml:space="preserve">Loan credit losses </t>
  </si>
  <si>
    <r>
      <t xml:space="preserve">Leverage Ratio Exposure </t>
    </r>
    <r>
      <rPr>
        <b/>
        <vertAlign val="superscript"/>
        <sz val="9"/>
        <color theme="1"/>
        <rFont val="Arial"/>
        <family val="2"/>
        <charset val="161"/>
      </rPr>
      <t>5</t>
    </r>
  </si>
  <si>
    <t>[5] Leverage Ratio Exposure = Leverage Ratio Exposure (LRE) is defined in accordance with the Capital Requirements Regulation (EU) No 575/2013, as amended.</t>
  </si>
  <si>
    <t xml:space="preserve">12M2022 </t>
  </si>
  <si>
    <t xml:space="preserve">09M2022 </t>
  </si>
  <si>
    <t xml:space="preserve">06M2022 </t>
  </si>
  <si>
    <t xml:space="preserve">03M2022 </t>
  </si>
  <si>
    <t>3Q2024</t>
  </si>
  <si>
    <t>09M2024</t>
  </si>
  <si>
    <t xml:space="preserve">Sep-24 </t>
  </si>
  <si>
    <t>bb+</t>
  </si>
  <si>
    <t>ba1</t>
  </si>
  <si>
    <t>Baa1</t>
  </si>
  <si>
    <t>P-2</t>
  </si>
  <si>
    <t xml:space="preserve">Baa1 (cr)/P-2 (cr) </t>
  </si>
  <si>
    <t>Jan-Sep 2024</t>
  </si>
  <si>
    <t xml:space="preserve">Other assets </t>
  </si>
  <si>
    <r>
      <t xml:space="preserve">CET 1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</si>
  <si>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r>
      <t xml:space="preserve">Total Capital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</si>
  <si>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t xml:space="preserve">Total NPE Tangible coverage </t>
  </si>
  <si>
    <t xml:space="preserve">Total NPE Total coverage </t>
  </si>
  <si>
    <r>
      <t xml:space="preserve">NPEs analysis </t>
    </r>
    <r>
      <rPr>
        <b/>
        <vertAlign val="superscript"/>
        <sz val="9"/>
        <color theme="0"/>
        <rFont val="Arial"/>
        <family val="2"/>
        <charset val="161"/>
      </rPr>
      <t>1</t>
    </r>
  </si>
  <si>
    <t xml:space="preserve">NPE Provision coverage </t>
  </si>
  <si>
    <t xml:space="preserve">NPE Tangible coverage </t>
  </si>
  <si>
    <t xml:space="preserve">NPE Total coverage </t>
  </si>
  <si>
    <t xml:space="preserve">NPE ratios by business line </t>
  </si>
  <si>
    <t xml:space="preserve">Asset Quality - NPE analysis </t>
  </si>
  <si>
    <r>
      <t xml:space="preserve">Sep 2024 </t>
    </r>
    <r>
      <rPr>
        <b/>
        <vertAlign val="superscript"/>
        <sz val="9"/>
        <color theme="1"/>
        <rFont val="Arial"/>
        <family val="2"/>
        <charset val="161"/>
      </rPr>
      <t>7</t>
    </r>
  </si>
  <si>
    <r>
      <t xml:space="preserve">Sep 2024 </t>
    </r>
    <r>
      <rPr>
        <b/>
        <vertAlign val="superscript"/>
        <sz val="9"/>
        <color theme="1"/>
        <rFont val="Arial"/>
        <family val="2"/>
        <charset val="161"/>
      </rPr>
      <t>4</t>
    </r>
  </si>
  <si>
    <t xml:space="preserve">Accumulated Provisions </t>
  </si>
  <si>
    <t>[1] 90+ DPD are loans in arrears for more than 90 days (90+ DPD) and are defined as loans past-due for more than 90 days and those that are impaired (impaired loans are those which are not considered fully collectible and for which a provision for impairment has been recognised on an individual basis or for which incurred losses exist at their initial recognition or customers are in Debt Recovery).</t>
  </si>
  <si>
    <t>[1] Other countries primarily relate to exposures in Russia, Romania and Serbia.</t>
  </si>
  <si>
    <t xml:space="preserve">[3]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</si>
  <si>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[12] For March 2024, the capital ratios do not include profits for the three months ended 31 March 2024. The CET1 ratio and the Total Capital ratio as at 31 March 2024 stand at 17.6% and 22.5% respectively, when including the profits for the quarter ended 31 March 2024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</si>
  <si>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 xml:space="preserve">[13] For June 2024, the capital ratios include reviewed profits for 1H2024 in line with the ECB Decision (EU) (2015/656) on the recognition of interim or year-end profits in CET1 capital in accordance with Article 26(2) of the CRR, net of distribution accrual at the top end of the Group’s adjusted recurring profitability for the period, which represesents the top-end of the Group's approved distribution policy in line with Commission Delegated Regulation (EU) No 241/2014 principles. Such distribution accrual does not constitute a binding commitment for a distribution payment nor does it constitute a warranty or representation that such a payment will be made. </t>
  </si>
  <si>
    <t>[6] By reference to the capital ratios, thes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t>
  </si>
  <si>
    <t xml:space="preserve">[14]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the Total Capital ratio and the Leverage ratio as at 30 September 2024 stood at 19.1%, 24.3% amd 8.7% respectively,when including the profits for the quarter ended 30 September 2024 and an accrual for a distribution at a payout ratio of 50% of the Group’s adjusted recurring profitability for the period. </t>
  </si>
  <si>
    <t xml:space="preserve">[2] Includes properties with carrying value of €41 mn as at 30 September 2024 (€46 mn as at 30 June 2024, €53 mn as at 31 March 2024, €52 mn as at 31 December 2023, €61 mn as at 30 September 2023, €65 mn as at 30 June 2023, €73 mn as at 31 March 2023, €75 mn as at 31 December 2022) which are classified as 'Investment properties' and are managed by REMU. </t>
  </si>
  <si>
    <r>
      <t xml:space="preserve">By geographical area </t>
    </r>
    <r>
      <rPr>
        <b/>
        <vertAlign val="superscript"/>
        <sz val="9"/>
        <color theme="1"/>
        <rFont val="Arial"/>
        <family val="2"/>
        <charset val="161"/>
      </rPr>
      <t>18</t>
    </r>
  </si>
  <si>
    <t>Greece</t>
  </si>
  <si>
    <t>United States</t>
  </si>
  <si>
    <t>Germany</t>
  </si>
  <si>
    <t>Ukraine</t>
  </si>
  <si>
    <t>Belarus</t>
  </si>
  <si>
    <t>Israel</t>
  </si>
  <si>
    <t>Other countries</t>
  </si>
  <si>
    <r>
      <t xml:space="preserve">Corporate </t>
    </r>
    <r>
      <rPr>
        <vertAlign val="superscript"/>
        <sz val="9"/>
        <color theme="1"/>
        <rFont val="Arial"/>
        <family val="2"/>
        <charset val="161"/>
      </rPr>
      <t>3</t>
    </r>
  </si>
  <si>
    <r>
      <t xml:space="preserve">Corporate </t>
    </r>
    <r>
      <rPr>
        <vertAlign val="superscript"/>
        <sz val="9"/>
        <color theme="1"/>
        <rFont val="Arial"/>
        <family val="2"/>
        <charset val="161"/>
      </rPr>
      <t>6</t>
    </r>
  </si>
  <si>
    <r>
      <t xml:space="preserve">Corporate </t>
    </r>
    <r>
      <rPr>
        <vertAlign val="superscript"/>
        <sz val="10"/>
        <color theme="1"/>
        <rFont val="Arial"/>
        <family val="2"/>
        <charset val="161"/>
      </rPr>
      <t>6</t>
    </r>
  </si>
  <si>
    <t xml:space="preserve">International business unit (IBU) </t>
  </si>
  <si>
    <t>4Q2024</t>
  </si>
  <si>
    <t>12M2024</t>
  </si>
  <si>
    <r>
      <t xml:space="preserve">Dec 2024 </t>
    </r>
    <r>
      <rPr>
        <b/>
        <vertAlign val="superscript"/>
        <sz val="9"/>
        <color theme="1"/>
        <rFont val="Arial"/>
        <family val="2"/>
        <charset val="161"/>
      </rPr>
      <t>4</t>
    </r>
  </si>
  <si>
    <r>
      <t xml:space="preserve">Dec 2024 </t>
    </r>
    <r>
      <rPr>
        <b/>
        <vertAlign val="superscript"/>
        <sz val="9"/>
        <color theme="1"/>
        <rFont val="Arial"/>
        <family val="2"/>
        <charset val="161"/>
      </rPr>
      <t>7</t>
    </r>
  </si>
  <si>
    <t>Jan-Dec 2024</t>
  </si>
  <si>
    <t xml:space="preserve">[4]  Pro forma for HFS for December 2024 results; Agreement for the sale of €54 mn NPEs; Pro forma for HFS for September 2024 results; Agreement for the sale of €27 mn NPEs; expected to be completed by 1H2025 subject to necessary approvals. </t>
  </si>
  <si>
    <t xml:space="preserve">[7]  Pro forma for HFS for December 2024 results; Agreement for the sale of €54 mn NPEs; Pro forma for HFS for September 2024 results; Agreement for the sale of €27 mn NPEs; expected to be completed by 1H2025 subject to necessary approvals. </t>
  </si>
  <si>
    <t>BBB-</t>
  </si>
  <si>
    <t>A-3</t>
  </si>
  <si>
    <r>
      <t xml:space="preserve">Dec-24 </t>
    </r>
    <r>
      <rPr>
        <b/>
        <vertAlign val="superscript"/>
        <sz val="9"/>
        <color theme="1"/>
        <rFont val="Arial"/>
        <family val="2"/>
        <charset val="161"/>
      </rPr>
      <t>15</t>
    </r>
  </si>
  <si>
    <r>
      <t xml:space="preserve">Gross Loans by Geography </t>
    </r>
    <r>
      <rPr>
        <b/>
        <vertAlign val="superscript"/>
        <sz val="9"/>
        <color theme="0"/>
        <rFont val="Arial"/>
        <family val="2"/>
        <charset val="161"/>
      </rPr>
      <t>5</t>
    </r>
  </si>
  <si>
    <t>Asset stock split (Greek operations - carrying value)</t>
  </si>
  <si>
    <t>[5]  Gross Loans by Geography are presented based on the country in which loans are managed.</t>
  </si>
  <si>
    <t>1Q2025</t>
  </si>
  <si>
    <t>03M2025</t>
  </si>
  <si>
    <t>Jan-Mar 2025</t>
  </si>
  <si>
    <t>baa3</t>
  </si>
  <si>
    <t xml:space="preserve">A3 (cr)/P-2 (cr) </t>
  </si>
  <si>
    <t>A3</t>
  </si>
  <si>
    <t>F3</t>
  </si>
  <si>
    <t>bbb-</t>
  </si>
  <si>
    <r>
      <t xml:space="preserve">Mar-25 </t>
    </r>
    <r>
      <rPr>
        <b/>
        <vertAlign val="superscript"/>
        <sz val="9"/>
        <color theme="1"/>
        <rFont val="Arial"/>
        <family val="2"/>
        <charset val="161"/>
      </rPr>
      <t>16</t>
    </r>
  </si>
  <si>
    <t>[7] For December 2022: IFRS 9 and application of the temporary treatment of certain FVOCI instruments in accordance with Article 468 of CRR fully loaded as applicable. For March 2023 to December 2024 : IFRS 9 fully loaded as applicable. As of March 2025, fully loaded under Articles 495a, 495b, 495d and 500a of the Capital Requirements Regulation (CRR).</t>
  </si>
  <si>
    <t>[10]  For December 2022: IFRS 9 and application of the temporary treatment of certain FVOCI instruments in accordance with Article 468 of CRR transitional arrangements as applicable. For March 2023 to December 2024 : IFRS 9 transitional arrangements as applicable.</t>
  </si>
  <si>
    <t>[15] By reference to the capital ratios, these include profits for the year ended 31 December 2024, net of a deduction for a Distribution in respect of 2024 earnings of €241 million (representing a 50% payout).</t>
  </si>
  <si>
    <t>[16] For March 2025, the capital ratios do not include profits for the three months ended 31 March 2025. The CET1 ratio and the Total Capital ratio as at 31 March 2025 stand at 19.9% and 25.0% respectively, when including the profits for the quarter ended 31 March 2025 and an accrual for a distribution at a payout ratio of 70%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</si>
  <si>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 xml:space="preserve">Mar 2025 </t>
  </si>
  <si>
    <t>n/a</t>
  </si>
  <si>
    <t>A. Gross Loans net of residual fair value on Initial recognition</t>
  </si>
  <si>
    <t>Residual fair value on initial recognition</t>
  </si>
  <si>
    <t>Accumulated provisions (per underline basis)</t>
  </si>
  <si>
    <t xml:space="preserve">Residual fair value adjustment on initial recognition </t>
  </si>
  <si>
    <r>
      <t xml:space="preserve">NPEs by Geography </t>
    </r>
    <r>
      <rPr>
        <b/>
        <vertAlign val="superscript"/>
        <sz val="9"/>
        <rFont val="Arial"/>
        <family val="2"/>
        <charset val="161"/>
      </rPr>
      <t>8</t>
    </r>
  </si>
  <si>
    <t>[8]  NPE by Geography are presented based on the country in which loans are managed.</t>
  </si>
  <si>
    <t>The residual fair value adjustment on initial recognition relates mainly to loans acquired from Laiki Bank (calculated as the difference between the outstanding contractual amount and the fair value of loans acquired at acquisition date).</t>
  </si>
  <si>
    <t>Transfer to/from own properties and other transfers</t>
  </si>
  <si>
    <t>2Q2025</t>
  </si>
  <si>
    <t>06M2025</t>
  </si>
  <si>
    <t>2Q2025 vs 1Q2025 (qoq%)</t>
  </si>
  <si>
    <t>06M2025 vs 06M2024 (yoy%)</t>
  </si>
  <si>
    <t>Jun 25 vs Mar 25 (Δ%)</t>
  </si>
  <si>
    <t xml:space="preserve">Jun 2025 </t>
  </si>
  <si>
    <t>Jun 25 vs Mar 25 (qoq%)</t>
  </si>
  <si>
    <t>Jan-Jun 2025</t>
  </si>
  <si>
    <t>AS T08.01 REPOSSESSED (REMU)</t>
  </si>
  <si>
    <r>
      <t xml:space="preserve">Jun-25 </t>
    </r>
    <r>
      <rPr>
        <b/>
        <vertAlign val="superscript"/>
        <sz val="9"/>
        <color theme="1"/>
        <rFont val="Arial"/>
        <family val="2"/>
        <charset val="161"/>
      </rPr>
      <t>17</t>
    </r>
  </si>
  <si>
    <r>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
    </r>
    <r>
      <rPr>
        <sz val="9"/>
        <rFont val="Arial"/>
        <family val="2"/>
        <charset val="161"/>
      </rPr>
      <t>to €53 mn</t>
    </r>
    <r>
      <rPr>
        <sz val="9"/>
        <color theme="1"/>
        <rFont val="Arial"/>
        <family val="2"/>
        <charset val="161"/>
      </rPr>
      <t xml:space="preserve"> at 30 June 2025 (compared to  €57 mn at 31 March 2025, €59 mn at 31 December 2024, €61 mn at 30 September 2024, €60 mn at 30 June 2024, €67 mn at 31 March 2024, €69 mn at 31 December 2023, €66 mn at 30 September 2023, €72 mn at 30 June 2023,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t>
    </r>
    <r>
      <rPr>
        <sz val="9"/>
        <rFont val="Arial"/>
        <family val="2"/>
        <charset val="161"/>
      </rPr>
      <t>nt of €122 mn</t>
    </r>
    <r>
      <rPr>
        <sz val="9"/>
        <color theme="1"/>
        <rFont val="Arial"/>
        <family val="2"/>
        <charset val="161"/>
      </rPr>
      <t xml:space="preserve"> at 30 June 2025 (compared to  €122 mn at 31 March 2025, €129 mn at 31 December 2024, €129 mn at 30 September 2024, €133 mn at 30 June 2024, €134 mn at 31 March 2024, €138 mn at 31 December 2023, €203 mn at 30 September 2023, €207 mn at 30 June 2023, €208 mn at 31 March 2023, €211 mn at 31 December 2022, €229 mn at 30 September 2022, €313 mn at 30 June 2022, €312 mn at 31 March 2022, €336 mn at 31 December 2021, €334 mn at 30 September 2021, €332 mn at 30 June 2021, €329 mn at 31 March 2021 and €326 mn at 31 December 2020).
</t>
    </r>
  </si>
  <si>
    <r>
      <t>Total expenses comprise staff costs, other operating expenses and the special levy on deposits and other levies/contributions (as defined). It does not include ‘advisory and other transformation costs-organic’, or any restructuring costs relating to the Voluntary Staff Exit Plan, or any restructuring costs relating to NPE sales. ‘Advisory and other transformation costs-organic’ amount</t>
    </r>
    <r>
      <rPr>
        <sz val="9"/>
        <rFont val="Arial"/>
        <family val="2"/>
        <charset val="161"/>
      </rPr>
      <t>ed to nil</t>
    </r>
    <r>
      <rPr>
        <sz val="9"/>
        <color theme="1"/>
        <rFont val="Arial"/>
        <family val="2"/>
        <charset val="161"/>
      </rPr>
      <t xml:space="preserve"> for 2Q2025 (compared to nil for 1Q2025, nil for 4Q2024, nil for 3Q2024, nil for 2Q2024, nil for 1Q2024, nil for 4Q2023, nil for 3Q2023, €1 mn for 2Q2023,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t>
    </r>
    <r>
      <rPr>
        <sz val="9"/>
        <rFont val="Arial"/>
        <family val="2"/>
        <charset val="161"/>
      </rPr>
      <t>d to nil for 4Q2023 (</t>
    </r>
    <r>
      <rPr>
        <sz val="9"/>
        <color theme="1"/>
        <rFont val="Arial"/>
        <family val="2"/>
        <charset val="161"/>
      </rPr>
      <t>compared to nil for 3Q2023, a gain of €0.2 mn for 2Q2023,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
    </r>
    <r>
      <rPr>
        <sz val="9"/>
        <rFont val="Arial"/>
        <family val="2"/>
        <charset val="161"/>
      </rPr>
      <t xml:space="preserve">ted to nil </t>
    </r>
    <r>
      <rPr>
        <sz val="9"/>
        <color theme="1"/>
        <rFont val="Arial"/>
        <family val="2"/>
        <charset val="161"/>
      </rPr>
      <t xml:space="preserve">for 4Q2023 (compared to nil for 3Q2023, nil for 2Q2023, nil for 1Q2023, nil for 4Q2022, €101 mn for 3Q2022, €3 mn for 1Q2022 relating to JCC, €16 mn for 4Q2021 and FY2021, €6 mn for 4Q2020 and FY2020, €81 mn for 4Q2019 and FY2019). The DTC levy amounted to €5.3 mn for 4Q2023 and FY2023 (compared to €4.8 mn for 4Q2022 and FY2022, €5.3 mn for 4Q2021 and FY2021, €3 mn for 4Q2020 and FY2020).  </t>
    </r>
  </si>
  <si>
    <t>Gross Loans by country of risk</t>
  </si>
  <si>
    <t xml:space="preserve">Stock at the end of period </t>
  </si>
  <si>
    <r>
      <t xml:space="preserve">Advisory and other transformation costs – organic </t>
    </r>
    <r>
      <rPr>
        <vertAlign val="superscript"/>
        <sz val="9"/>
        <color theme="1"/>
        <rFont val="Arial"/>
        <family val="2"/>
        <charset val="161"/>
      </rPr>
      <t>2</t>
    </r>
  </si>
  <si>
    <r>
      <t xml:space="preserve">Restructuring costs – Voluntary Staff Exit Plan (VEP) </t>
    </r>
    <r>
      <rPr>
        <vertAlign val="superscript"/>
        <sz val="9"/>
        <color theme="1"/>
        <rFont val="Arial"/>
        <family val="2"/>
        <charset val="161"/>
      </rPr>
      <t>3</t>
    </r>
  </si>
  <si>
    <t xml:space="preserve">[2] 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</si>
  <si>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[3] In 3Q2022, it includes an amount of €101 mn for the Voluntary Retirement Scheme (VRS) which took place on July 2022. In 1Q2022, it includes an amount of €3 mn for the Voluntary Retirement Scheme (VRS) which took place in January 2022 and relates to JCC.  </t>
  </si>
  <si>
    <t xml:space="preserve">Basic earnings /(losses) per share (cent) attributable to the owners of the Company/Bank </t>
  </si>
  <si>
    <t xml:space="preserve">Diluted earnings /(losses) per share (cent) attributable to the owners of the Company/Bank </t>
  </si>
  <si>
    <t>[4] Calculated as Profit/(loss) after tax (attributable to the owners of the Company) (as defined) (annualised - (based on year - to - date days)), divided by the quarterly average of Shareholders’ equity minus intangible assets and after deducting the excess CET1 capital on a 15% CET1 ratio from the tangible book value.</t>
  </si>
  <si>
    <t>[5] Based on number of shares in issue, excluding treasury shares</t>
  </si>
  <si>
    <t xml:space="preserve">Return on tangible equity (ROTE) (annualised) </t>
  </si>
  <si>
    <r>
      <t xml:space="preserve">Return on tangible equity (ROTE), on 15% CET1 ratio  (annualised) </t>
    </r>
    <r>
      <rPr>
        <vertAlign val="superscript"/>
        <sz val="9"/>
        <color theme="1"/>
        <rFont val="Arial"/>
        <family val="2"/>
        <charset val="161"/>
      </rPr>
      <t>4</t>
    </r>
  </si>
  <si>
    <r>
      <t xml:space="preserve">Basic earnings/(losses) per share (€) attributable to the owners of the Company/Bank </t>
    </r>
    <r>
      <rPr>
        <vertAlign val="superscript"/>
        <sz val="9"/>
        <color theme="1"/>
        <rFont val="Arial"/>
        <family val="2"/>
        <charset val="161"/>
      </rPr>
      <t xml:space="preserve"> 5</t>
    </r>
  </si>
  <si>
    <r>
      <t xml:space="preserve">Tangible book value per share (€), excluding the proposed cash dividend, where applicable </t>
    </r>
    <r>
      <rPr>
        <vertAlign val="superscript"/>
        <sz val="9"/>
        <color theme="1"/>
        <rFont val="Arial"/>
        <family val="2"/>
        <charset val="161"/>
      </rPr>
      <t>5</t>
    </r>
  </si>
  <si>
    <r>
      <t xml:space="preserve">Tangible book value per share (€) </t>
    </r>
    <r>
      <rPr>
        <vertAlign val="superscript"/>
        <sz val="9"/>
        <color theme="1"/>
        <rFont val="Arial"/>
        <family val="2"/>
        <charset val="161"/>
      </rPr>
      <t>5</t>
    </r>
  </si>
  <si>
    <t>By customer sector</t>
  </si>
  <si>
    <t>Retail</t>
  </si>
  <si>
    <t>International corporate</t>
  </si>
  <si>
    <t>IBU</t>
  </si>
  <si>
    <t>Corporate</t>
  </si>
  <si>
    <r>
      <t xml:space="preserve">Dec-22 </t>
    </r>
    <r>
      <rPr>
        <b/>
        <vertAlign val="superscript"/>
        <sz val="9"/>
        <color theme="1"/>
        <rFont val="Arial"/>
        <family val="2"/>
        <charset val="161"/>
      </rPr>
      <t>6, 9</t>
    </r>
  </si>
  <si>
    <r>
      <t xml:space="preserve">Dec-23 </t>
    </r>
    <r>
      <rPr>
        <b/>
        <vertAlign val="superscript"/>
        <sz val="9"/>
        <color theme="1"/>
        <rFont val="Arial"/>
        <family val="2"/>
        <charset val="161"/>
      </rPr>
      <t>10</t>
    </r>
  </si>
  <si>
    <r>
      <t xml:space="preserve">Dec-24 </t>
    </r>
    <r>
      <rPr>
        <b/>
        <vertAlign val="superscript"/>
        <sz val="9"/>
        <color theme="1"/>
        <rFont val="Arial"/>
        <family val="2"/>
        <charset val="161"/>
      </rPr>
      <t>19</t>
    </r>
  </si>
  <si>
    <r>
      <t xml:space="preserve">CET 1 (transitional) ratio </t>
    </r>
    <r>
      <rPr>
        <b/>
        <vertAlign val="superscript"/>
        <sz val="9"/>
        <rFont val="Arial"/>
        <family val="2"/>
        <charset val="161"/>
      </rPr>
      <t>11,12, 13</t>
    </r>
  </si>
  <si>
    <r>
      <t xml:space="preserve">Common Equity Tier 1 (fully loaded) ratio </t>
    </r>
    <r>
      <rPr>
        <b/>
        <vertAlign val="superscript"/>
        <sz val="9"/>
        <rFont val="Arial"/>
        <family val="2"/>
        <charset val="161"/>
      </rPr>
      <t>7, 11, 12, 13</t>
    </r>
  </si>
  <si>
    <r>
      <t xml:space="preserve">Total Capital (transitional) ratio </t>
    </r>
    <r>
      <rPr>
        <b/>
        <vertAlign val="superscript"/>
        <sz val="9"/>
        <rFont val="Arial"/>
        <family val="2"/>
        <charset val="161"/>
      </rPr>
      <t>11</t>
    </r>
  </si>
  <si>
    <r>
      <t xml:space="preserve">LCR ratio </t>
    </r>
    <r>
      <rPr>
        <vertAlign val="superscript"/>
        <sz val="9"/>
        <color theme="1"/>
        <rFont val="Arial"/>
        <family val="2"/>
        <charset val="161"/>
      </rPr>
      <t>8</t>
    </r>
  </si>
  <si>
    <r>
      <t xml:space="preserve">By geographical area </t>
    </r>
    <r>
      <rPr>
        <b/>
        <vertAlign val="superscript"/>
        <sz val="9"/>
        <color theme="1"/>
        <rFont val="Arial"/>
        <family val="2"/>
        <charset val="161"/>
      </rPr>
      <t>17</t>
    </r>
  </si>
  <si>
    <t>[8] Since August 2016, Commission Delegated Regulation (EU) 2015/61 LCR was enacted, under which secured borrowing backed by illiquid assets was deducted from liquid assets.</t>
  </si>
  <si>
    <t>[9]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</si>
  <si>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[10] By reference to the capital ratios, these include profits for the year ended 31 December 2023 and a deduction for a Distribution in respect of 2023 earnings of €137 million (representing a 30% payout), following approval received by the ECB in March 2024 and relevant ecommendation by the Board of Directors to the shareholders for a final cash dividend of €112 million and in principle approval by the Board to undertake a share buyback of ordinary shares of the Company for an aggregate consideration of up to €25 million and in compliance with the terms of the ECB approval.</t>
  </si>
  <si>
    <t>[11] For March 2024, the capital ratios do not include profits for the three months ended 31 March 2024. The CET1 ratio and the Total Capital ratio as at 31 March 2024 stand at 17.6% and 22.5% respectively, when including the profits for the quarter ended 31 March 2024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</si>
  <si>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 xml:space="preserve">[12] For June 2024, the capital ratios include reviewed profits for 1H2024 in line with the ECB Decision (EU) (2015/656) on the recognition of interim or year-end profits in CET1 capital in accordance with Article 26(2) of the CRR, net of distribution accrual at the top end of the Group’s adjusted recurring profitability for the period, which represesents the top-end of the Group's approved distribution policy in line with Commission Delegated Regulation (EU) No 241/2014 principles. Such distribution accrual does not constitute a binding commitment for a distribution payment nor does it constitute a warranty or representation that such a payment will be made. </t>
  </si>
  <si>
    <t xml:space="preserve">[13]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and the Total Capital ratio as at 30 September 2024 stood at 19.1% and 24.3%, respectively,when including the profits for the quarter ended 30 September 2024 and an accrual for a distribution at a payout ratio of 50% of the Group’s adjusted recurring profitability for the period. </t>
  </si>
  <si>
    <t>[17] Deposits by geographical area are presented based on the country in which deposits are managed.</t>
  </si>
  <si>
    <t>[18] Deposits by geographical area presented are based on the country of residence of the Ultimate Beneficial Owner.</t>
  </si>
  <si>
    <t>[19] By reference to the capital ratios, these include profits for the year ended 31 December 2024, net of a deduction for a Distribution in respect of 2024 earnings of €241 million (representing a 50% payout).</t>
  </si>
  <si>
    <t xml:space="preserve">Total GROUP / Cyprus </t>
  </si>
  <si>
    <t xml:space="preserve">Treasury </t>
  </si>
  <si>
    <t xml:space="preserve">Overseas </t>
  </si>
  <si>
    <t xml:space="preserve">Large Corporate banking </t>
  </si>
  <si>
    <t xml:space="preserve">[2] As from the period ended 31 December 2022, International Corporate Banking represents a separate business line.  Previously International Corporate Banking was disclosed within the Global Corporate Banking business line. </t>
  </si>
  <si>
    <t xml:space="preserve">[3]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</si>
  <si>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t>[4]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</si>
  <si>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[5] From 2024 onwards, ‘Wealth Management’ no longer represents a separate segment. The activities of Institutional Wealth Management and Custody  are part of segment ‘Treasury’, Afluent Banking activities are under segment ‘Retail’ and the activities of the subsidiary companies of the Group, CISCO and its subsidiary, whose activities relate to investment banking, brokerage, discretionary asset management and investment advice services and do not qualify as a material segment, are now presented under ‘Other’; whereas.</t>
  </si>
  <si>
    <t xml:space="preserve">[6] As from the period ended 31 December 2023, JCC represents a separate business line.  Previously JCC was disclosed within the Other business line. </t>
  </si>
  <si>
    <t xml:space="preserve">[7] As from the period ended 31 December 2024, International business unit (IBU) and International Corporate Banking represents as one line as 'IBU &amp; International Corporate' business line. Previously, IBU was disclosed as a separate line as International business unit (IBU) and International Corporate was disclosed as a separate line as International Corporate Banking. </t>
  </si>
  <si>
    <r>
      <t xml:space="preserve">Corporate banking </t>
    </r>
    <r>
      <rPr>
        <b/>
        <vertAlign val="superscript"/>
        <sz val="9"/>
        <color theme="0"/>
        <rFont val="Arial"/>
        <family val="2"/>
        <charset val="161"/>
      </rPr>
      <t>3</t>
    </r>
  </si>
  <si>
    <r>
      <t xml:space="preserve">IBU &amp; International Corporate </t>
    </r>
    <r>
      <rPr>
        <b/>
        <vertAlign val="superscript"/>
        <sz val="9"/>
        <color theme="0"/>
        <rFont val="Arial"/>
        <family val="2"/>
        <charset val="161"/>
      </rPr>
      <t>2, 7</t>
    </r>
  </si>
  <si>
    <r>
      <t xml:space="preserve">Wealth &amp; Brokerage &amp; Asset Management </t>
    </r>
    <r>
      <rPr>
        <b/>
        <vertAlign val="superscript"/>
        <sz val="9"/>
        <color theme="0"/>
        <rFont val="Arial"/>
        <family val="2"/>
        <charset val="161"/>
      </rPr>
      <t>5</t>
    </r>
  </si>
  <si>
    <r>
      <t xml:space="preserve">Insurance </t>
    </r>
    <r>
      <rPr>
        <b/>
        <vertAlign val="superscript"/>
        <sz val="9"/>
        <color theme="0"/>
        <rFont val="Arial"/>
        <family val="2"/>
        <charset val="161"/>
      </rPr>
      <t>4</t>
    </r>
  </si>
  <si>
    <r>
      <t xml:space="preserve">JCC </t>
    </r>
    <r>
      <rPr>
        <b/>
        <vertAlign val="superscript"/>
        <sz val="9"/>
        <color theme="0"/>
        <rFont val="Arial"/>
        <family val="2"/>
        <charset val="161"/>
      </rPr>
      <t>6</t>
    </r>
  </si>
  <si>
    <t xml:space="preserve">Income Statement by business line </t>
  </si>
  <si>
    <t xml:space="preserve">Bank of Cyprus Group - Income statement by business line </t>
  </si>
  <si>
    <t>IBU &amp; International Corporate</t>
  </si>
  <si>
    <t>JCC</t>
  </si>
  <si>
    <t>Provisions for pending litigation, claims, regulatory and other matters (net of reversals)</t>
  </si>
  <si>
    <t>Net result attributable to owners of the parent (YTD) (mn)</t>
  </si>
  <si>
    <t xml:space="preserve">[2]  Pro forma for HFS for December 2024 results; Agreement for the sale of €54 mn NPEs; Pro forma for HFS for September 2024 results; Agreement for the sale of €27 mn NPEs; expected to be completed by 1H2025 subject to necessary approvals. </t>
  </si>
  <si>
    <r>
      <t>NPEs</t>
    </r>
    <r>
      <rPr>
        <b/>
        <vertAlign val="superscript"/>
        <sz val="9"/>
        <color rgb="FF000000"/>
        <rFont val="Arial"/>
        <family val="2"/>
        <charset val="161"/>
      </rPr>
      <t xml:space="preserve"> 2</t>
    </r>
  </si>
  <si>
    <r>
      <t xml:space="preserve">NPEs ratio </t>
    </r>
    <r>
      <rPr>
        <b/>
        <vertAlign val="superscript"/>
        <sz val="9"/>
        <color rgb="FF000000"/>
        <rFont val="Arial"/>
        <family val="2"/>
        <charset val="161"/>
      </rPr>
      <t>2</t>
    </r>
  </si>
  <si>
    <r>
      <t xml:space="preserve">NPEs coverage ratio </t>
    </r>
    <r>
      <rPr>
        <b/>
        <vertAlign val="superscript"/>
        <sz val="9"/>
        <color rgb="FF000000"/>
        <rFont val="Arial"/>
        <family val="2"/>
        <charset val="161"/>
      </rPr>
      <t>2</t>
    </r>
  </si>
  <si>
    <t xml:space="preserve">Leverage ratio </t>
  </si>
  <si>
    <r>
      <t xml:space="preserve">Mar-25 </t>
    </r>
    <r>
      <rPr>
        <b/>
        <vertAlign val="superscript"/>
        <sz val="9"/>
        <color theme="1"/>
        <rFont val="Arial"/>
        <family val="2"/>
        <charset val="161"/>
      </rPr>
      <t>14</t>
    </r>
  </si>
  <si>
    <r>
      <t xml:space="preserve">Jun-25 </t>
    </r>
    <r>
      <rPr>
        <b/>
        <vertAlign val="superscript"/>
        <sz val="9"/>
        <color theme="1"/>
        <rFont val="Arial"/>
        <family val="2"/>
        <charset val="161"/>
      </rPr>
      <t>15</t>
    </r>
  </si>
  <si>
    <r>
      <t xml:space="preserve">Weighted average number of outstanding shares (000's) </t>
    </r>
    <r>
      <rPr>
        <vertAlign val="superscript"/>
        <sz val="9"/>
        <color theme="1"/>
        <rFont val="Arial"/>
        <family val="2"/>
        <charset val="161"/>
      </rPr>
      <t>16</t>
    </r>
  </si>
  <si>
    <t>[14] For March 2025, the capital ratios do not include profits for the three months ended 31 March 2025. The CET1 ratio and the Total Capital ratio as at 31 March 2025 stand at 19.9% and 25.0% respectively, when including the profits for the quarter ended 31 March 2025 and an accrual for a distribution at a payout ratio of 70%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</si>
  <si>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[15] For June 2025, the capital ratios includes reviewed profits for the six months ended 30 June 2025 in line with the ECB Decision (EU) (2015/656) on the recognition of interim or year-end profits in CET1 capital in accordance with Article 26(2) of the CRR and an accrual for a distribution at a payout ratio of 70%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</si>
  <si>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[16] Based on number of shares in issue, excluding treasury shares.</t>
  </si>
  <si>
    <t>[17] For June 2025, the capital ratios include reviewed profits for the six months ended 30 June 2025 in line with the ECB Decision (EU) (2015/656) on the recognition of interim or year-end profits in CET1 capital in accordance with Article 26(2) of the CRR and an accrual for a distribution at a payout ratio of 70%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</si>
  <si>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r>
      <t xml:space="preserve">Gross Loans by country of risk </t>
    </r>
    <r>
      <rPr>
        <b/>
        <vertAlign val="superscript"/>
        <sz val="9"/>
        <color theme="0"/>
        <rFont val="Arial"/>
        <family val="2"/>
        <charset val="161"/>
      </rPr>
      <t>6</t>
    </r>
  </si>
  <si>
    <t>[6]  Gross Loans by country of risk is based on the Group’s Country Risk Policy which is followed for monitoring the Group's exposures.</t>
  </si>
  <si>
    <r>
      <t xml:space="preserve">Gross Loans by business line </t>
    </r>
    <r>
      <rPr>
        <b/>
        <vertAlign val="superscript"/>
        <sz val="9"/>
        <color theme="0"/>
        <rFont val="Arial"/>
        <family val="2"/>
        <charset val="161"/>
      </rPr>
      <t>7</t>
    </r>
  </si>
  <si>
    <t>[7]  Gross Loans under Restructuring &amp; Recoveries Divisions are included in these business lines.</t>
  </si>
  <si>
    <t>12M2022 8</t>
  </si>
  <si>
    <t>09M2022 8</t>
  </si>
  <si>
    <t>06M2022 8</t>
  </si>
  <si>
    <t>03M2022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</si>
</sst>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1" formatCode="0.000"/>
    <numFmt numFmtId="192" formatCode="#,##0.000"/>
    <numFmt numFmtId="193" formatCode="0.00000"/>
    <numFmt numFmtId="194" formatCode="#,##0.0000"/>
    <numFmt numFmtId="195" formatCode="0.0"/>
  </numFmts>
  <fonts count="131">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b/>
      <sz val="9"/>
      <color theme="1"/>
      <name val="Calibri"/>
      <family val="2"/>
      <charset val="161"/>
      <scheme val="minor"/>
    </font>
    <font>
      <sz val="12"/>
      <color theme="0"/>
      <name val="Arial"/>
      <family val="2"/>
      <charset val="161"/>
    </font>
    <font>
      <b/>
      <sz val="10"/>
      <color theme="1"/>
      <name val="Arial"/>
      <family val="2"/>
      <charset val="161"/>
    </font>
    <font>
      <b/>
      <sz val="9"/>
      <color rgb="FFFF0000"/>
      <name val="Arial"/>
      <family val="2"/>
      <charset val="161"/>
    </font>
    <font>
      <sz val="9"/>
      <color rgb="FFFF0000"/>
      <name val="Arial"/>
      <family val="2"/>
      <charset val="161"/>
    </font>
    <font>
      <sz val="11"/>
      <color rgb="FFFF0000"/>
      <name val="Calibri"/>
      <family val="2"/>
      <scheme val="minor"/>
    </font>
    <font>
      <sz val="11"/>
      <name val="Calibri"/>
      <family val="2"/>
      <scheme val="minor"/>
    </font>
    <font>
      <sz val="8"/>
      <name val="Calibri"/>
      <family val="2"/>
      <scheme val="minor"/>
    </font>
    <font>
      <vertAlign val="superscript"/>
      <sz val="10"/>
      <color theme="1"/>
      <name val="Arial"/>
      <family val="2"/>
      <charset val="161"/>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335">
    <xf numFmtId="0" fontId="0" fillId="0" borderId="0" xfId="0"/>
    <xf numFmtId="0" fontId="82" fillId="0" borderId="0" xfId="161" applyNumberFormat="1" applyFont="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xf numFmtId="0" fontId="82" fillId="0" borderId="0" xfId="161" applyNumberFormat="1" applyFont="1" applyAlignment="1">
      <alignment horizontal="left" indent="2"/>
    </xf>
    <xf numFmtId="0" fontId="117" fillId="0" borderId="0" xfId="217" applyNumberFormat="1" applyFont="1" applyFill="1" applyAlignment="1">
      <alignment horizontal="left" indent="2"/>
    </xf>
    <xf numFmtId="0" fontId="82" fillId="0" borderId="0" xfId="359" applyNumberFormat="1" applyFont="1" applyAlignment="1">
      <alignment horizontal="left" indent="1"/>
    </xf>
    <xf numFmtId="0" fontId="82" fillId="0" borderId="0" xfId="359" applyNumberFormat="1" applyFont="1" applyAlignment="1">
      <alignment horizontal="left" indent="2"/>
    </xf>
    <xf numFmtId="0" fontId="82" fillId="0" borderId="0" xfId="161" applyNumberFormat="1" applyFont="1" applyAlignment="1">
      <alignment horizontal="left" indent="3"/>
    </xf>
    <xf numFmtId="0" fontId="117" fillId="0" borderId="0" xfId="217" applyNumberFormat="1" applyFont="1" applyFill="1" applyAlignment="1">
      <alignment horizontal="left" indent="4"/>
    </xf>
    <xf numFmtId="0" fontId="82" fillId="0" borderId="0" xfId="1" applyFont="1"/>
    <xf numFmtId="0" fontId="82" fillId="0" borderId="0" xfId="0" applyFont="1"/>
    <xf numFmtId="0" fontId="82" fillId="0" borderId="0" xfId="161" applyNumberFormat="1" applyFont="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Protection="1">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Alignment="1" applyProtection="1">
      <alignment horizontal="center"/>
      <protection locked="0"/>
    </xf>
    <xf numFmtId="9" fontId="74" fillId="0" borderId="0" xfId="161" applyNumberFormat="1" applyFont="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Alignment="1" applyProtection="1">
      <alignment horizontal="center"/>
      <protection locked="0"/>
    </xf>
    <xf numFmtId="166" fontId="74" fillId="0" borderId="0" xfId="161" applyNumberFormat="1" applyFont="1" applyAlignment="1" applyProtection="1">
      <alignment horizontal="center"/>
      <protection locked="0"/>
    </xf>
    <xf numFmtId="10" fontId="74" fillId="0" borderId="0" xfId="161" applyNumberFormat="1" applyFont="1" applyAlignment="1" applyProtection="1">
      <alignment horizontal="center"/>
      <protection locked="0"/>
    </xf>
    <xf numFmtId="10" fontId="74" fillId="0" borderId="0" xfId="161" applyNumberFormat="1" applyFont="1" applyProtection="1">
      <protection locked="0"/>
    </xf>
    <xf numFmtId="0" fontId="71" fillId="0" borderId="0" xfId="161" applyNumberFormat="1" applyFont="1" applyProtection="1">
      <protection locked="0"/>
    </xf>
    <xf numFmtId="167" fontId="80" fillId="0" borderId="0" xfId="161" applyNumberFormat="1" applyFont="1" applyAlignment="1" applyProtection="1">
      <alignment horizontal="center"/>
      <protection locked="0"/>
    </xf>
    <xf numFmtId="0" fontId="74" fillId="0" borderId="0" xfId="161" applyNumberFormat="1" applyFont="1" applyAlignment="1" applyProtection="1">
      <alignment horizontal="right"/>
      <protection locked="0"/>
    </xf>
    <xf numFmtId="3" fontId="74" fillId="0" borderId="0" xfId="161" applyNumberFormat="1" applyFont="1" applyAlignment="1">
      <alignment horizontal="center"/>
    </xf>
    <xf numFmtId="189" fontId="74" fillId="0" borderId="0" xfId="161" applyNumberFormat="1" applyFont="1" applyAlignment="1">
      <alignment horizontal="center"/>
    </xf>
    <xf numFmtId="3" fontId="73" fillId="0" borderId="0" xfId="161" applyNumberFormat="1" applyFont="1" applyAlignment="1">
      <alignment horizontal="center"/>
    </xf>
    <xf numFmtId="189" fontId="73" fillId="0" borderId="0" xfId="161" applyNumberFormat="1" applyFont="1" applyAlignment="1">
      <alignment horizontal="center"/>
    </xf>
    <xf numFmtId="9" fontId="74" fillId="0" borderId="0" xfId="161" applyNumberFormat="1" applyFont="1" applyAlignment="1">
      <alignment horizontal="center" wrapText="1"/>
    </xf>
    <xf numFmtId="2" fontId="74" fillId="0" borderId="0" xfId="161" applyNumberFormat="1" applyFont="1" applyAlignment="1">
      <alignment horizontal="center"/>
    </xf>
    <xf numFmtId="166" fontId="74" fillId="0" borderId="0" xfId="161" applyNumberFormat="1" applyFont="1" applyAlignment="1">
      <alignment horizontal="center"/>
    </xf>
    <xf numFmtId="0" fontId="73" fillId="0" borderId="0" xfId="161" quotePrefix="1" applyNumberFormat="1" applyFont="1" applyAlignment="1" applyProtection="1">
      <alignment horizontal="center"/>
      <protection locked="0"/>
    </xf>
    <xf numFmtId="17"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8" fillId="0" borderId="0" xfId="283" applyFont="1" applyAlignment="1" applyProtection="1">
      <alignment horizontal="left" vertical="center" wrapText="1" readingOrder="1"/>
      <protection locked="0"/>
    </xf>
    <xf numFmtId="0" fontId="74" fillId="0" borderId="0" xfId="283"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3" fontId="74" fillId="0" borderId="0" xfId="283" applyNumberFormat="1" applyFont="1" applyAlignment="1" applyProtection="1">
      <alignment horizontal="center"/>
      <protection locked="0"/>
    </xf>
    <xf numFmtId="0" fontId="81" fillId="0" borderId="0" xfId="283" applyFont="1" applyAlignment="1" applyProtection="1">
      <alignment vertical="center" wrapText="1"/>
      <protection locked="0"/>
    </xf>
    <xf numFmtId="0" fontId="71" fillId="38" borderId="0" xfId="283" applyFont="1" applyFill="1" applyAlignment="1" applyProtection="1">
      <alignment horizontal="left"/>
      <protection locked="0"/>
    </xf>
    <xf numFmtId="0" fontId="71" fillId="38" borderId="0" xfId="283"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Font="1" applyAlignment="1" applyProtection="1">
      <alignment horizontal="left"/>
      <protection locked="0"/>
    </xf>
    <xf numFmtId="0" fontId="73" fillId="0" borderId="0" xfId="283" applyFont="1" applyAlignment="1" applyProtection="1">
      <alignment horizontal="left"/>
      <protection locked="0"/>
    </xf>
    <xf numFmtId="0" fontId="73" fillId="0" borderId="0" xfId="283"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Font="1" applyAlignment="1" applyProtection="1">
      <alignment horizontal="left"/>
      <protection locked="0"/>
    </xf>
    <xf numFmtId="0" fontId="80" fillId="0" borderId="0" xfId="283" applyFont="1" applyAlignment="1" applyProtection="1">
      <alignment horizontal="center"/>
      <protection locked="0"/>
    </xf>
    <xf numFmtId="3" fontId="82" fillId="0" borderId="0" xfId="283" applyNumberFormat="1" applyFont="1" applyAlignment="1" applyProtection="1">
      <alignment horizontal="center"/>
      <protection locked="0"/>
    </xf>
    <xf numFmtId="3" fontId="73" fillId="0" borderId="31" xfId="161" applyNumberFormat="1" applyFont="1" applyBorder="1" applyAlignment="1">
      <alignment horizontal="center"/>
    </xf>
    <xf numFmtId="0" fontId="74" fillId="0" borderId="0" xfId="283" applyFont="1" applyAlignment="1">
      <alignment horizontal="center"/>
    </xf>
    <xf numFmtId="3" fontId="74" fillId="0" borderId="0" xfId="283" applyNumberFormat="1" applyFont="1" applyAlignment="1">
      <alignment horizontal="center"/>
    </xf>
    <xf numFmtId="165" fontId="73" fillId="0" borderId="0" xfId="161" applyNumberFormat="1" applyFont="1" applyAlignment="1" applyProtection="1">
      <alignment horizontal="center"/>
      <protection locked="0"/>
    </xf>
    <xf numFmtId="165" fontId="71" fillId="38" borderId="0" xfId="161" applyNumberFormat="1" applyFont="1" applyFill="1" applyProtection="1">
      <protection locked="0"/>
    </xf>
    <xf numFmtId="3" fontId="82" fillId="0" borderId="0" xfId="161" applyNumberFormat="1" applyFont="1" applyAlignment="1" applyProtection="1">
      <alignment horizontal="center"/>
      <protection locked="0"/>
    </xf>
    <xf numFmtId="165" fontId="80" fillId="0" borderId="0" xfId="161" applyNumberFormat="1" applyFont="1" applyAlignment="1" applyProtection="1">
      <alignment horizontal="center"/>
      <protection locked="0"/>
    </xf>
    <xf numFmtId="0" fontId="74" fillId="0" borderId="0" xfId="161" applyNumberFormat="1" applyFont="1" applyAlignment="1" applyProtection="1">
      <alignment wrapText="1"/>
      <protection locked="0"/>
    </xf>
    <xf numFmtId="165" fontId="71" fillId="38" borderId="0" xfId="161" applyNumberFormat="1" applyFont="1" applyFill="1" applyAlignment="1" applyProtection="1">
      <alignment horizontal="center"/>
      <protection locked="0"/>
    </xf>
    <xf numFmtId="3" fontId="82" fillId="0" borderId="0" xfId="161" applyNumberFormat="1" applyFont="1" applyAlignment="1">
      <alignment horizontal="center"/>
    </xf>
    <xf numFmtId="165" fontId="82" fillId="0" borderId="0" xfId="161" applyNumberFormat="1" applyFont="1" applyAlignment="1">
      <alignment horizontal="center"/>
    </xf>
    <xf numFmtId="3" fontId="80" fillId="0" borderId="0" xfId="161" applyNumberFormat="1" applyFont="1" applyAlignment="1">
      <alignment horizontal="center"/>
    </xf>
    <xf numFmtId="165" fontId="80" fillId="0" borderId="0" xfId="161" applyNumberFormat="1" applyFont="1" applyAlignment="1">
      <alignment horizontal="center"/>
    </xf>
    <xf numFmtId="165" fontId="82" fillId="38" borderId="0" xfId="161" applyNumberFormat="1" applyFont="1" applyFill="1" applyAlignment="1">
      <alignment horizontal="center"/>
    </xf>
    <xf numFmtId="0" fontId="82" fillId="0" borderId="0" xfId="283" applyFont="1" applyAlignment="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Protection="1">
      <protection locked="0"/>
    </xf>
    <xf numFmtId="3" fontId="73" fillId="0" borderId="31" xfId="283" applyNumberFormat="1" applyFont="1" applyBorder="1" applyAlignment="1">
      <alignment horizontal="center"/>
    </xf>
    <xf numFmtId="165" fontId="74" fillId="0" borderId="0" xfId="161" applyNumberFormat="1" applyFont="1" applyAlignment="1">
      <alignment horizontal="center"/>
    </xf>
    <xf numFmtId="165" fontId="71" fillId="38" borderId="0" xfId="161" applyNumberFormat="1" applyFont="1" applyFill="1" applyAlignment="1">
      <alignment horizontal="center"/>
    </xf>
    <xf numFmtId="165" fontId="72" fillId="38" borderId="0" xfId="161" applyNumberFormat="1" applyFont="1" applyFill="1" applyProtection="1">
      <protection locked="0"/>
    </xf>
    <xf numFmtId="165" fontId="72" fillId="0" borderId="0" xfId="161" applyNumberFormat="1" applyFont="1" applyProtection="1">
      <protection locked="0"/>
    </xf>
    <xf numFmtId="165" fontId="73" fillId="0" borderId="0" xfId="161" applyNumberFormat="1" applyFont="1" applyProtection="1">
      <protection locked="0"/>
    </xf>
    <xf numFmtId="9" fontId="82" fillId="0" borderId="0" xfId="161" applyNumberFormat="1" applyFont="1" applyAlignment="1" applyProtection="1">
      <alignment horizontal="center"/>
      <protection locked="0"/>
    </xf>
    <xf numFmtId="0" fontId="74" fillId="0" borderId="0" xfId="359" applyNumberFormat="1" applyFont="1" applyProtection="1">
      <protection locked="0"/>
    </xf>
    <xf numFmtId="165" fontId="71" fillId="0" borderId="0" xfId="161" applyNumberFormat="1" applyFont="1" applyProtection="1">
      <protection locked="0"/>
    </xf>
    <xf numFmtId="0" fontId="80" fillId="0" borderId="0" xfId="161" applyNumberFormat="1" applyFont="1" applyProtection="1">
      <protection locked="0"/>
    </xf>
    <xf numFmtId="165" fontId="71" fillId="0" borderId="0" xfId="161" applyNumberFormat="1" applyFont="1" applyAlignment="1" applyProtection="1">
      <alignment horizontal="center"/>
      <protection locked="0"/>
    </xf>
    <xf numFmtId="0" fontId="74" fillId="0" borderId="0" xfId="240" applyFont="1" applyProtection="1">
      <protection locked="0"/>
    </xf>
    <xf numFmtId="165" fontId="80" fillId="0" borderId="0" xfId="161" applyNumberFormat="1" applyFont="1" applyProtection="1">
      <protection locked="0"/>
    </xf>
    <xf numFmtId="3" fontId="80" fillId="0" borderId="31" xfId="161" applyNumberFormat="1" applyFont="1" applyBorder="1" applyAlignment="1">
      <alignment horizontal="center"/>
    </xf>
    <xf numFmtId="9" fontId="74" fillId="0" borderId="0" xfId="161" applyNumberFormat="1" applyFont="1" applyAlignment="1">
      <alignment horizontal="center"/>
    </xf>
    <xf numFmtId="165" fontId="71" fillId="0" borderId="0" xfId="161" applyNumberFormat="1" applyFont="1" applyAlignment="1">
      <alignment horizontal="center"/>
    </xf>
    <xf numFmtId="0" fontId="71" fillId="39" borderId="0" xfId="359" applyNumberFormat="1" applyFont="1" applyFill="1" applyProtection="1">
      <protection locked="0"/>
    </xf>
    <xf numFmtId="0" fontId="73" fillId="0" borderId="0" xfId="359" applyNumberFormat="1" applyFont="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Protection="1">
      <protection locked="0"/>
    </xf>
    <xf numFmtId="0" fontId="82"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Alignment="1" applyProtection="1">
      <alignment horizontal="left" indent="1"/>
      <protection locked="0"/>
    </xf>
    <xf numFmtId="165" fontId="74" fillId="0" borderId="0" xfId="359" applyNumberFormat="1" applyFont="1" applyProtection="1">
      <protection locked="0"/>
    </xf>
    <xf numFmtId="3" fontId="82" fillId="0" borderId="0" xfId="359" applyNumberFormat="1" applyFont="1" applyAlignment="1">
      <alignment horizontal="center"/>
    </xf>
    <xf numFmtId="3" fontId="82" fillId="0" borderId="0" xfId="283" applyNumberFormat="1" applyFont="1" applyAlignment="1">
      <alignment horizontal="center"/>
    </xf>
    <xf numFmtId="165" fontId="74" fillId="0" borderId="0" xfId="359" applyNumberFormat="1" applyFont="1" applyAlignment="1">
      <alignment horizontal="center"/>
    </xf>
    <xf numFmtId="165" fontId="74" fillId="38" borderId="0" xfId="359" applyNumberFormat="1" applyFont="1" applyFill="1" applyAlignment="1">
      <alignment horizontal="center"/>
    </xf>
    <xf numFmtId="9" fontId="74" fillId="0" borderId="0" xfId="359" applyNumberFormat="1" applyFont="1" applyAlignment="1">
      <alignment horizontal="center"/>
    </xf>
    <xf numFmtId="9" fontId="74" fillId="47" borderId="0" xfId="359" applyNumberFormat="1" applyFont="1" applyFill="1" applyAlignment="1">
      <alignment horizontal="center"/>
    </xf>
    <xf numFmtId="9" fontId="73" fillId="0" borderId="0" xfId="359" applyNumberFormat="1" applyFont="1" applyAlignment="1">
      <alignment horizontal="center"/>
    </xf>
    <xf numFmtId="165" fontId="71" fillId="38" borderId="0" xfId="359" applyNumberFormat="1" applyFont="1" applyFill="1" applyAlignment="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Protection="1">
      <protection locked="0"/>
    </xf>
    <xf numFmtId="0" fontId="80" fillId="0" borderId="0" xfId="362" applyFont="1" applyProtection="1">
      <protection locked="0"/>
    </xf>
    <xf numFmtId="165" fontId="74" fillId="0" borderId="0" xfId="361" applyNumberFormat="1" applyFont="1" applyProtection="1">
      <protection locked="0"/>
    </xf>
    <xf numFmtId="0" fontId="75" fillId="0" borderId="0" xfId="361" applyNumberFormat="1" applyFont="1" applyProtection="1">
      <protection locked="0"/>
    </xf>
    <xf numFmtId="3" fontId="74" fillId="0" borderId="0" xfId="361" applyNumberFormat="1" applyFont="1" applyAlignment="1">
      <alignment horizontal="center"/>
    </xf>
    <xf numFmtId="3" fontId="73" fillId="0" borderId="31" xfId="361" applyNumberFormat="1" applyFont="1" applyBorder="1" applyAlignment="1">
      <alignment horizontal="center"/>
    </xf>
    <xf numFmtId="0" fontId="71" fillId="0" borderId="0" xfId="362" applyFont="1"/>
    <xf numFmtId="165" fontId="72" fillId="0" borderId="0" xfId="361" applyNumberFormat="1" applyFont="1" applyAlignment="1">
      <alignment horizontal="center"/>
    </xf>
    <xf numFmtId="165" fontId="71" fillId="38" borderId="0" xfId="361" applyNumberFormat="1" applyFont="1" applyFill="1" applyAlignment="1">
      <alignment horizontal="center"/>
    </xf>
    <xf numFmtId="0" fontId="75" fillId="0" borderId="0" xfId="161" applyNumberFormat="1" applyFont="1" applyProtection="1">
      <protection locked="0"/>
    </xf>
    <xf numFmtId="3" fontId="80" fillId="0" borderId="31" xfId="283" applyNumberFormat="1" applyFont="1" applyBorder="1" applyAlignment="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Alignment="1" applyProtection="1">
      <alignment horizontal="center"/>
      <protection locked="0"/>
    </xf>
    <xf numFmtId="9" fontId="80" fillId="0" borderId="31" xfId="161" applyNumberFormat="1" applyFont="1" applyBorder="1" applyAlignment="1" applyProtection="1">
      <alignment horizontal="center"/>
      <protection locked="0"/>
    </xf>
    <xf numFmtId="9" fontId="73" fillId="0" borderId="0" xfId="161" applyNumberFormat="1" applyFont="1" applyAlignment="1">
      <alignment horizontal="center"/>
    </xf>
    <xf numFmtId="3" fontId="80" fillId="0" borderId="0" xfId="359" applyNumberFormat="1" applyFont="1" applyAlignment="1">
      <alignment horizontal="center"/>
    </xf>
    <xf numFmtId="3" fontId="80" fillId="0" borderId="31" xfId="359" applyNumberFormat="1" applyFont="1" applyBorder="1" applyAlignment="1">
      <alignment horizontal="center"/>
    </xf>
    <xf numFmtId="0" fontId="74" fillId="0" borderId="0" xfId="0" applyFont="1" applyProtection="1">
      <protection locked="0"/>
    </xf>
    <xf numFmtId="9" fontId="74" fillId="0" borderId="0" xfId="283" applyNumberFormat="1" applyFont="1" applyAlignment="1">
      <alignment horizontal="center"/>
    </xf>
    <xf numFmtId="9" fontId="73" fillId="0" borderId="0" xfId="283" applyNumberFormat="1" applyFont="1" applyAlignment="1">
      <alignment horizontal="center"/>
    </xf>
    <xf numFmtId="166" fontId="74" fillId="0" borderId="0" xfId="161" applyNumberFormat="1" applyFont="1" applyAlignment="1">
      <alignment horizontal="center" wrapText="1"/>
    </xf>
    <xf numFmtId="10" fontId="74" fillId="0" borderId="0" xfId="161" applyNumberFormat="1" applyFont="1" applyAlignment="1">
      <alignment horizontal="center" wrapText="1"/>
    </xf>
    <xf numFmtId="9" fontId="73" fillId="0" borderId="31" xfId="161" applyNumberFormat="1" applyFont="1" applyBorder="1" applyAlignment="1" applyProtection="1">
      <alignment horizontal="center"/>
      <protection locked="0"/>
    </xf>
    <xf numFmtId="0" fontId="110" fillId="0" borderId="0" xfId="359" applyNumberFormat="1" applyFont="1" applyProtection="1">
      <protection locked="0"/>
    </xf>
    <xf numFmtId="9" fontId="73" fillId="0" borderId="0" xfId="161" applyNumberFormat="1" applyFont="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lignment horizontal="center"/>
    </xf>
    <xf numFmtId="0" fontId="74" fillId="0" borderId="0" xfId="0" applyFont="1"/>
    <xf numFmtId="0" fontId="123" fillId="39" borderId="0" xfId="0" applyFont="1" applyFill="1"/>
    <xf numFmtId="3" fontId="0" fillId="0" borderId="0" xfId="0" applyNumberFormat="1" applyProtection="1">
      <protection locked="0"/>
    </xf>
    <xf numFmtId="0" fontId="73" fillId="0" borderId="0" xfId="0" applyFont="1" applyProtection="1">
      <protection locked="0"/>
    </xf>
    <xf numFmtId="3" fontId="82" fillId="0" borderId="16" xfId="161" applyNumberFormat="1" applyFont="1" applyBorder="1" applyAlignment="1">
      <alignment horizontal="center"/>
    </xf>
    <xf numFmtId="3" fontId="74" fillId="49" borderId="0" xfId="161" applyNumberFormat="1" applyFont="1" applyFill="1" applyAlignment="1" applyProtection="1">
      <alignment horizontal="center"/>
      <protection locked="0"/>
    </xf>
    <xf numFmtId="3" fontId="73" fillId="49" borderId="31" xfId="161" applyNumberFormat="1" applyFont="1" applyFill="1" applyBorder="1" applyAlignment="1" applyProtection="1">
      <alignment horizontal="center"/>
      <protection locked="0"/>
    </xf>
    <xf numFmtId="3" fontId="73" fillId="49" borderId="0" xfId="161" applyNumberFormat="1" applyFont="1" applyFill="1" applyAlignment="1" applyProtection="1">
      <alignment horizontal="center"/>
      <protection locked="0"/>
    </xf>
    <xf numFmtId="166" fontId="74" fillId="49" borderId="0" xfId="161" applyNumberFormat="1" applyFont="1" applyFill="1" applyAlignment="1" applyProtection="1">
      <alignment horizontal="center"/>
      <protection locked="0"/>
    </xf>
    <xf numFmtId="3" fontId="82" fillId="49" borderId="0" xfId="161" applyNumberFormat="1" applyFont="1" applyFill="1" applyAlignment="1" applyProtection="1">
      <alignment horizontal="center"/>
      <protection locked="0"/>
    </xf>
    <xf numFmtId="3" fontId="80" fillId="49" borderId="31" xfId="161" applyNumberFormat="1" applyFont="1" applyFill="1" applyBorder="1" applyAlignment="1" applyProtection="1">
      <alignment horizontal="center"/>
      <protection locked="0"/>
    </xf>
    <xf numFmtId="3" fontId="82" fillId="49" borderId="16" xfId="161" applyNumberFormat="1" applyFont="1" applyFill="1" applyBorder="1" applyAlignment="1" applyProtection="1">
      <alignment horizontal="center"/>
      <protection locked="0"/>
    </xf>
    <xf numFmtId="9" fontId="82" fillId="49" borderId="0" xfId="161" applyNumberFormat="1" applyFont="1" applyFill="1" applyAlignment="1" applyProtection="1">
      <alignment horizontal="center"/>
      <protection locked="0"/>
    </xf>
    <xf numFmtId="9" fontId="80" fillId="49" borderId="0" xfId="161" applyNumberFormat="1" applyFont="1" applyFill="1" applyAlignment="1" applyProtection="1">
      <alignment horizontal="center"/>
      <protection locked="0"/>
    </xf>
    <xf numFmtId="3" fontId="82" fillId="49" borderId="0" xfId="359" applyNumberFormat="1" applyFont="1" applyFill="1" applyAlignment="1" applyProtection="1">
      <alignment horizontal="center"/>
      <protection locked="0"/>
    </xf>
    <xf numFmtId="3" fontId="80" fillId="49" borderId="31" xfId="359" applyNumberFormat="1" applyFont="1" applyFill="1" applyBorder="1" applyAlignment="1" applyProtection="1">
      <alignment horizontal="center"/>
      <protection locked="0"/>
    </xf>
    <xf numFmtId="9" fontId="74" fillId="49" borderId="0" xfId="359" applyNumberFormat="1" applyFont="1" applyFill="1" applyAlignment="1" applyProtection="1">
      <alignment horizontal="center"/>
      <protection locked="0"/>
    </xf>
    <xf numFmtId="9" fontId="73" fillId="49" borderId="0" xfId="359" applyNumberFormat="1" applyFont="1" applyFill="1" applyAlignment="1" applyProtection="1">
      <alignment horizontal="center"/>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4" fillId="0" borderId="0" xfId="161" applyNumberFormat="1" applyFont="1" applyAlignment="1">
      <alignment horizontal="left"/>
    </xf>
    <xf numFmtId="189" fontId="73" fillId="38" borderId="0" xfId="161" applyNumberFormat="1" applyFont="1" applyFill="1" applyAlignment="1">
      <alignment horizontal="center"/>
    </xf>
    <xf numFmtId="10" fontId="74" fillId="0" borderId="0" xfId="161" applyNumberFormat="1" applyFont="1"/>
    <xf numFmtId="0" fontId="72" fillId="38" borderId="0" xfId="161" applyNumberFormat="1" applyFont="1" applyFill="1"/>
    <xf numFmtId="167" fontId="80" fillId="0" borderId="0" xfId="161" applyNumberFormat="1" applyFont="1" applyAlignment="1">
      <alignment horizontal="center"/>
    </xf>
    <xf numFmtId="0" fontId="74" fillId="0" borderId="0" xfId="161" applyNumberFormat="1" applyFont="1"/>
    <xf numFmtId="0" fontId="74" fillId="0" borderId="0" xfId="161" applyNumberFormat="1" applyFont="1" applyAlignment="1">
      <alignment horizontal="right"/>
    </xf>
    <xf numFmtId="1" fontId="74" fillId="49" borderId="0" xfId="161" applyNumberFormat="1" applyFont="1" applyFill="1" applyAlignment="1" applyProtection="1">
      <alignment horizontal="center"/>
      <protection locked="0"/>
    </xf>
    <xf numFmtId="165" fontId="74" fillId="0" borderId="0" xfId="161" applyNumberFormat="1" applyFont="1"/>
    <xf numFmtId="165" fontId="71" fillId="38" borderId="0" xfId="161" applyNumberFormat="1" applyFont="1" applyFill="1"/>
    <xf numFmtId="9" fontId="82" fillId="0" borderId="0" xfId="161" applyNumberFormat="1" applyFont="1" applyAlignment="1">
      <alignment horizontal="center"/>
    </xf>
    <xf numFmtId="9" fontId="80" fillId="0" borderId="0" xfId="161" applyNumberFormat="1" applyFont="1" applyAlignment="1">
      <alignment horizontal="center"/>
    </xf>
    <xf numFmtId="9" fontId="74" fillId="49"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Alignment="1" applyProtection="1">
      <alignment wrapText="1"/>
      <protection locked="0"/>
    </xf>
    <xf numFmtId="3" fontId="73" fillId="0" borderId="31" xfId="161" applyNumberFormat="1" applyFont="1" applyBorder="1" applyAlignment="1" applyProtection="1">
      <alignment horizontal="center"/>
      <protection locked="0"/>
    </xf>
    <xf numFmtId="165" fontId="72" fillId="0" borderId="0" xfId="359" applyNumberFormat="1" applyFont="1" applyAlignment="1">
      <alignment horizontal="center"/>
    </xf>
    <xf numFmtId="9" fontId="82" fillId="0" borderId="0" xfId="359" applyNumberFormat="1" applyFont="1" applyAlignment="1">
      <alignment horizontal="center"/>
    </xf>
    <xf numFmtId="9" fontId="80" fillId="0" borderId="31" xfId="359" applyNumberFormat="1" applyFont="1" applyBorder="1" applyAlignment="1">
      <alignment horizontal="center"/>
    </xf>
    <xf numFmtId="9" fontId="80" fillId="0" borderId="0" xfId="359" applyNumberFormat="1" applyFont="1" applyAlignment="1">
      <alignment horizontal="center"/>
    </xf>
    <xf numFmtId="166" fontId="74" fillId="0" borderId="0" xfId="359" applyNumberFormat="1" applyFont="1" applyAlignment="1">
      <alignment horizontal="center"/>
    </xf>
    <xf numFmtId="165" fontId="73" fillId="0" borderId="0" xfId="359" applyNumberFormat="1" applyFont="1" applyAlignment="1">
      <alignment horizontal="center"/>
    </xf>
    <xf numFmtId="0" fontId="0" fillId="0" borderId="0" xfId="0" applyAlignment="1" applyProtection="1">
      <alignment wrapText="1"/>
      <protection locked="0"/>
    </xf>
    <xf numFmtId="0" fontId="124" fillId="0" borderId="0" xfId="283" applyFont="1" applyProtection="1">
      <protection locked="0"/>
    </xf>
    <xf numFmtId="0" fontId="124" fillId="0" borderId="0" xfId="283" applyFont="1" applyAlignment="1" applyProtection="1">
      <alignment wrapText="1"/>
      <protection locked="0"/>
    </xf>
    <xf numFmtId="3" fontId="74" fillId="49"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191" fontId="0" fillId="0" borderId="0" xfId="0" applyNumberFormat="1" applyProtection="1">
      <protection locked="0"/>
    </xf>
    <xf numFmtId="3" fontId="80" fillId="49" borderId="0" xfId="359" applyNumberFormat="1" applyFont="1" applyFill="1" applyAlignment="1">
      <alignment horizontal="center"/>
    </xf>
    <xf numFmtId="3" fontId="82" fillId="49" borderId="0" xfId="359" applyNumberFormat="1" applyFont="1" applyFill="1" applyAlignment="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Alignment="1" applyProtection="1">
      <alignment horizontal="center"/>
      <protection locked="0"/>
    </xf>
    <xf numFmtId="3" fontId="73" fillId="0" borderId="31" xfId="283" applyNumberFormat="1" applyFont="1" applyBorder="1" applyAlignment="1" applyProtection="1">
      <alignment horizontal="center"/>
      <protection locked="0"/>
    </xf>
    <xf numFmtId="3" fontId="74" fillId="0" borderId="0" xfId="0" applyNumberFormat="1" applyFont="1" applyAlignment="1" applyProtection="1">
      <alignment horizontal="center"/>
      <protection locked="0"/>
    </xf>
    <xf numFmtId="3" fontId="82" fillId="0" borderId="0" xfId="359" applyNumberFormat="1" applyFont="1" applyAlignment="1" applyProtection="1">
      <alignment horizontal="center"/>
      <protection locked="0"/>
    </xf>
    <xf numFmtId="3" fontId="80" fillId="0" borderId="31" xfId="359" applyNumberFormat="1" applyFont="1" applyBorder="1" applyAlignment="1" applyProtection="1">
      <alignment horizontal="center"/>
      <protection locked="0"/>
    </xf>
    <xf numFmtId="9" fontId="74" fillId="0" borderId="0" xfId="359" applyNumberFormat="1" applyFont="1" applyAlignment="1" applyProtection="1">
      <alignment horizontal="center"/>
      <protection locked="0"/>
    </xf>
    <xf numFmtId="9" fontId="73" fillId="0" borderId="0" xfId="359" applyNumberFormat="1" applyFont="1" applyAlignment="1" applyProtection="1">
      <alignment horizontal="center"/>
      <protection locked="0"/>
    </xf>
    <xf numFmtId="9" fontId="73" fillId="0" borderId="31" xfId="359" applyNumberFormat="1" applyFont="1" applyBorder="1" applyAlignment="1">
      <alignment horizontal="center"/>
    </xf>
    <xf numFmtId="3" fontId="74" fillId="0" borderId="0" xfId="361" applyNumberFormat="1" applyFont="1" applyAlignment="1" applyProtection="1">
      <alignment horizontal="center"/>
      <protection locked="0"/>
    </xf>
    <xf numFmtId="3" fontId="73" fillId="0" borderId="31" xfId="361" applyNumberFormat="1" applyFont="1" applyBorder="1" applyAlignment="1" applyProtection="1">
      <alignment horizontal="center"/>
      <protection locked="0"/>
    </xf>
    <xf numFmtId="9" fontId="74" fillId="49" borderId="0" xfId="161" applyNumberFormat="1" applyFont="1" applyFill="1" applyAlignment="1">
      <alignment horizontal="center" wrapText="1"/>
    </xf>
    <xf numFmtId="3" fontId="80" fillId="0" borderId="0" xfId="161" applyNumberFormat="1" applyFont="1" applyAlignment="1" applyProtection="1">
      <alignment horizontal="center"/>
      <protection locked="0"/>
    </xf>
    <xf numFmtId="0" fontId="74" fillId="0" borderId="33" xfId="0" applyFont="1" applyBorder="1" applyAlignment="1">
      <alignment vertical="top" wrapText="1"/>
    </xf>
    <xf numFmtId="3" fontId="74" fillId="0" borderId="0" xfId="283" applyNumberFormat="1" applyFont="1" applyAlignment="1" applyProtection="1">
      <alignment horizontal="center" wrapText="1"/>
      <protection locked="0"/>
    </xf>
    <xf numFmtId="192" fontId="73" fillId="0" borderId="0" xfId="161" applyNumberFormat="1" applyFont="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9" borderId="0" xfId="161" applyNumberFormat="1" applyFont="1" applyFill="1" applyAlignment="1">
      <alignment horizontal="center"/>
    </xf>
    <xf numFmtId="3" fontId="73" fillId="49" borderId="0" xfId="161" applyNumberFormat="1" applyFont="1" applyFill="1" applyAlignment="1">
      <alignment horizontal="center"/>
    </xf>
    <xf numFmtId="3" fontId="74" fillId="0" borderId="0" xfId="161" applyNumberFormat="1" applyFont="1" applyAlignment="1" applyProtection="1">
      <alignment horizontal="center" wrapText="1"/>
      <protection locked="0"/>
    </xf>
    <xf numFmtId="10" fontId="74" fillId="49" borderId="0" xfId="161" applyNumberFormat="1" applyFont="1" applyFill="1" applyAlignment="1" applyProtection="1">
      <alignment horizontal="center"/>
      <protection locked="0"/>
    </xf>
    <xf numFmtId="3" fontId="73" fillId="49" borderId="10" xfId="161" applyNumberFormat="1" applyFont="1" applyFill="1" applyBorder="1" applyAlignment="1">
      <alignment horizontal="center"/>
    </xf>
    <xf numFmtId="3" fontId="73" fillId="49" borderId="31" xfId="161" applyNumberFormat="1" applyFont="1" applyFill="1" applyBorder="1" applyAlignment="1">
      <alignment horizontal="center"/>
    </xf>
    <xf numFmtId="1" fontId="73" fillId="0" borderId="10" xfId="161" applyNumberFormat="1" applyFont="1" applyBorder="1" applyAlignment="1" applyProtection="1">
      <alignment horizontal="center"/>
      <protection locked="0"/>
    </xf>
    <xf numFmtId="1" fontId="73" fillId="0" borderId="31" xfId="161" applyNumberFormat="1" applyFont="1" applyBorder="1" applyAlignment="1" applyProtection="1">
      <alignment horizontal="center"/>
      <protection locked="0"/>
    </xf>
    <xf numFmtId="1" fontId="73" fillId="49"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lignment horizontal="left"/>
    </xf>
    <xf numFmtId="3" fontId="73" fillId="38" borderId="0" xfId="161" applyNumberFormat="1" applyFont="1" applyFill="1" applyAlignment="1">
      <alignment horizontal="center"/>
    </xf>
    <xf numFmtId="3" fontId="74" fillId="49" borderId="0" xfId="361" applyNumberFormat="1" applyFont="1" applyFill="1" applyAlignment="1" applyProtection="1">
      <alignment horizontal="center"/>
      <protection locked="0"/>
    </xf>
    <xf numFmtId="3" fontId="73" fillId="49" borderId="31" xfId="361" applyNumberFormat="1" applyFont="1" applyFill="1" applyBorder="1" applyAlignment="1" applyProtection="1">
      <alignment horizontal="center"/>
      <protection locked="0"/>
    </xf>
    <xf numFmtId="0" fontId="73" fillId="0" borderId="0" xfId="161" applyNumberFormat="1" applyFont="1" applyAlignment="1" applyProtection="1">
      <alignment horizontal="center" wrapText="1"/>
      <protection locked="0"/>
    </xf>
    <xf numFmtId="3" fontId="74" fillId="49" borderId="0" xfId="283" applyNumberFormat="1" applyFont="1" applyFill="1" applyAlignment="1" applyProtection="1">
      <alignment horizontal="center"/>
      <protection locked="0"/>
    </xf>
    <xf numFmtId="3" fontId="74" fillId="49" borderId="0" xfId="283" applyNumberFormat="1" applyFont="1" applyFill="1" applyAlignment="1" applyProtection="1">
      <alignment horizontal="center" wrapText="1"/>
      <protection locked="0"/>
    </xf>
    <xf numFmtId="3" fontId="74" fillId="49"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9" fontId="74" fillId="0" borderId="31" xfId="161" applyNumberFormat="1" applyFont="1" applyBorder="1" applyAlignment="1" applyProtection="1">
      <alignment horizontal="center"/>
      <protection locked="0"/>
    </xf>
    <xf numFmtId="193" fontId="0" fillId="0" borderId="0" xfId="0" applyNumberFormat="1" applyProtection="1">
      <protection locked="0"/>
    </xf>
    <xf numFmtId="17" fontId="80" fillId="0" borderId="0" xfId="161" quotePrefix="1" applyNumberFormat="1" applyFont="1" applyAlignment="1" applyProtection="1">
      <alignment horizontal="center"/>
      <protection locked="0"/>
    </xf>
    <xf numFmtId="0" fontId="74" fillId="0" borderId="33" xfId="0" applyFont="1" applyBorder="1" applyAlignment="1">
      <alignment horizontal="left" vertical="top" wrapText="1"/>
    </xf>
    <xf numFmtId="3" fontId="80" fillId="49" borderId="31" xfId="359" applyNumberFormat="1" applyFont="1" applyFill="1" applyBorder="1" applyAlignment="1">
      <alignment horizontal="center"/>
    </xf>
    <xf numFmtId="166" fontId="74" fillId="47" borderId="0" xfId="359" applyNumberFormat="1" applyFont="1" applyFill="1" applyAlignment="1">
      <alignment horizontal="center"/>
    </xf>
    <xf numFmtId="2" fontId="74" fillId="0" borderId="0" xfId="161" applyNumberFormat="1" applyFont="1" applyAlignment="1">
      <alignment horizontal="center" wrapText="1"/>
    </xf>
    <xf numFmtId="3" fontId="80" fillId="0" borderId="0" xfId="362" applyNumberFormat="1" applyFont="1" applyProtection="1">
      <protection locked="0"/>
    </xf>
    <xf numFmtId="0" fontId="75" fillId="0" borderId="0" xfId="161" applyNumberFormat="1" applyFont="1" applyAlignment="1" applyProtection="1">
      <alignment vertical="top" wrapText="1"/>
      <protection locked="0"/>
    </xf>
    <xf numFmtId="1" fontId="73" fillId="49" borderId="31" xfId="161" applyNumberFormat="1" applyFont="1" applyFill="1" applyBorder="1" applyAlignment="1" applyProtection="1">
      <alignment horizontal="center"/>
      <protection locked="0"/>
    </xf>
    <xf numFmtId="9" fontId="74" fillId="49" borderId="0" xfId="283" applyNumberFormat="1" applyFont="1" applyFill="1" applyAlignment="1" applyProtection="1">
      <alignment horizontal="center"/>
      <protection locked="0"/>
    </xf>
    <xf numFmtId="3" fontId="71" fillId="0" borderId="0" xfId="362" applyNumberFormat="1" applyFont="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Alignment="1" applyProtection="1">
      <alignment horizontal="center"/>
      <protection locked="0"/>
    </xf>
    <xf numFmtId="0" fontId="74" fillId="0" borderId="0" xfId="283" applyFont="1" applyAlignment="1">
      <alignment horizontal="center" wrapText="1"/>
    </xf>
    <xf numFmtId="10" fontId="74" fillId="0" borderId="0" xfId="0" applyNumberFormat="1" applyFont="1" applyAlignment="1" applyProtection="1">
      <alignment horizontal="center"/>
      <protection locked="0"/>
    </xf>
    <xf numFmtId="166" fontId="73" fillId="49" borderId="0" xfId="359" applyNumberFormat="1" applyFont="1" applyFill="1" applyAlignment="1">
      <alignment horizontal="center"/>
    </xf>
    <xf numFmtId="166" fontId="73" fillId="0" borderId="0" xfId="359" applyNumberFormat="1" applyFont="1" applyAlignment="1">
      <alignment horizontal="center"/>
    </xf>
    <xf numFmtId="192" fontId="80" fillId="0" borderId="0" xfId="359" applyNumberFormat="1" applyFont="1" applyAlignment="1" applyProtection="1">
      <alignment horizontal="center"/>
      <protection locked="0"/>
    </xf>
    <xf numFmtId="194" fontId="71" fillId="0" borderId="0" xfId="362" applyNumberFormat="1" applyFont="1" applyProtection="1">
      <protection locked="0"/>
    </xf>
    <xf numFmtId="3" fontId="73" fillId="0" borderId="10" xfId="161" applyNumberFormat="1" applyFont="1" applyBorder="1" applyAlignment="1" applyProtection="1">
      <alignment horizontal="center"/>
      <protection locked="0"/>
    </xf>
    <xf numFmtId="2" fontId="74" fillId="49" borderId="0" xfId="161" applyNumberFormat="1" applyFont="1" applyFill="1" applyAlignment="1" applyProtection="1">
      <alignment horizontal="center"/>
      <protection locked="0"/>
    </xf>
    <xf numFmtId="0" fontId="82" fillId="0" borderId="0" xfId="362" applyFont="1" applyProtection="1">
      <protection locked="0"/>
    </xf>
    <xf numFmtId="0" fontId="74" fillId="0" borderId="0" xfId="362" applyFont="1" applyProtection="1">
      <protection locked="0"/>
    </xf>
    <xf numFmtId="3" fontId="82" fillId="49" borderId="0" xfId="161" applyNumberFormat="1" applyFont="1" applyFill="1" applyAlignment="1">
      <alignment horizontal="center"/>
    </xf>
    <xf numFmtId="3" fontId="80" fillId="49" borderId="0" xfId="161" applyNumberFormat="1" applyFont="1" applyFill="1" applyAlignment="1">
      <alignment horizontal="center"/>
    </xf>
    <xf numFmtId="3" fontId="80" fillId="49" borderId="0" xfId="161" applyNumberFormat="1" applyFont="1" applyFill="1" applyAlignment="1" applyProtection="1">
      <alignment horizontal="center"/>
      <protection locked="0"/>
    </xf>
    <xf numFmtId="10" fontId="74" fillId="49" borderId="0" xfId="161" applyNumberFormat="1" applyFont="1" applyFill="1" applyAlignment="1">
      <alignment horizontal="center" wrapText="1"/>
    </xf>
    <xf numFmtId="166" fontId="74" fillId="49" borderId="0" xfId="161" applyNumberFormat="1" applyFont="1" applyFill="1" applyAlignment="1">
      <alignment horizontal="center" wrapText="1"/>
    </xf>
    <xf numFmtId="2" fontId="74" fillId="49" borderId="0" xfId="161" applyNumberFormat="1" applyFont="1" applyFill="1" applyAlignment="1">
      <alignment horizontal="center" wrapText="1"/>
    </xf>
    <xf numFmtId="3" fontId="71" fillId="38" borderId="0" xfId="161" applyNumberFormat="1" applyFont="1" applyFill="1" applyProtection="1">
      <protection locked="0"/>
    </xf>
    <xf numFmtId="191" fontId="0" fillId="50" borderId="0" xfId="0" applyNumberFormat="1" applyFill="1" applyProtection="1">
      <protection locked="0"/>
    </xf>
    <xf numFmtId="1" fontId="0" fillId="50" borderId="0" xfId="0" applyNumberFormat="1" applyFill="1" applyProtection="1">
      <protection locked="0"/>
    </xf>
    <xf numFmtId="0" fontId="75" fillId="0" borderId="0" xfId="161" applyNumberFormat="1" applyFont="1" applyAlignment="1" applyProtection="1">
      <alignment vertical="center"/>
      <protection locked="0"/>
    </xf>
    <xf numFmtId="0" fontId="75" fillId="0" borderId="0" xfId="161"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82" fillId="0" borderId="0" xfId="240" applyFont="1" applyAlignment="1" applyProtection="1">
      <alignment wrapText="1"/>
      <protection locked="0"/>
    </xf>
    <xf numFmtId="0" fontId="127" fillId="0" borderId="0" xfId="0" applyFont="1" applyProtection="1">
      <protection locked="0"/>
    </xf>
    <xf numFmtId="0" fontId="125" fillId="0" borderId="0" xfId="161" applyNumberFormat="1" applyFont="1" applyAlignment="1" applyProtection="1">
      <alignment vertical="top" wrapText="1"/>
      <protection locked="0"/>
    </xf>
    <xf numFmtId="0" fontId="126" fillId="0" borderId="0" xfId="0" applyFont="1" applyProtection="1">
      <protection locked="0"/>
    </xf>
    <xf numFmtId="9" fontId="73" fillId="49" borderId="0" xfId="359" applyNumberFormat="1" applyFont="1" applyFill="1" applyAlignment="1">
      <alignment horizontal="center"/>
    </xf>
    <xf numFmtId="166" fontId="82" fillId="49" borderId="0" xfId="161" applyNumberFormat="1" applyFont="1" applyFill="1" applyAlignment="1" applyProtection="1">
      <alignment horizontal="center"/>
      <protection locked="0"/>
    </xf>
    <xf numFmtId="166" fontId="82" fillId="0" borderId="0" xfId="161" applyNumberFormat="1" applyFont="1" applyAlignment="1" applyProtection="1">
      <alignment horizontal="center"/>
      <protection locked="0"/>
    </xf>
    <xf numFmtId="0" fontId="128" fillId="0" borderId="0" xfId="0" applyFont="1" applyProtection="1">
      <protection locked="0"/>
    </xf>
    <xf numFmtId="0" fontId="125" fillId="38" borderId="0" xfId="161" applyNumberFormat="1" applyFont="1" applyFill="1" applyProtection="1">
      <protection locked="0"/>
    </xf>
    <xf numFmtId="195" fontId="74" fillId="49" borderId="0" xfId="161" applyNumberFormat="1" applyFont="1" applyFill="1" applyAlignment="1" applyProtection="1">
      <alignment horizontal="center"/>
      <protection locked="0"/>
    </xf>
    <xf numFmtId="195" fontId="74" fillId="0" borderId="0" xfId="161" applyNumberFormat="1" applyFont="1" applyAlignment="1" applyProtection="1">
      <alignment horizontal="center"/>
      <protection locked="0"/>
    </xf>
    <xf numFmtId="0" fontId="75" fillId="0" borderId="0" xfId="161" applyNumberFormat="1" applyFont="1" applyAlignment="1" applyProtection="1">
      <alignment horizontal="left" vertical="center" wrapText="1"/>
      <protection locked="0"/>
    </xf>
    <xf numFmtId="166" fontId="74" fillId="49" borderId="0" xfId="359" applyNumberFormat="1" applyFont="1" applyFill="1" applyAlignment="1" applyProtection="1">
      <alignment horizontal="center"/>
      <protection locked="0"/>
    </xf>
    <xf numFmtId="166" fontId="74" fillId="0" borderId="0" xfId="359" applyNumberFormat="1" applyFont="1" applyAlignment="1" applyProtection="1">
      <alignment horizontal="center"/>
      <protection locked="0"/>
    </xf>
    <xf numFmtId="192" fontId="73" fillId="0" borderId="31" xfId="361" applyNumberFormat="1" applyFont="1" applyBorder="1" applyAlignment="1" applyProtection="1">
      <alignment horizontal="center"/>
      <protection locked="0"/>
    </xf>
    <xf numFmtId="192" fontId="71" fillId="0" borderId="0" xfId="362" applyNumberFormat="1" applyFont="1" applyProtection="1">
      <protection locked="0"/>
    </xf>
    <xf numFmtId="192" fontId="71" fillId="38" borderId="0" xfId="361" applyNumberFormat="1" applyFont="1" applyFill="1" applyAlignment="1" applyProtection="1">
      <alignment horizontal="center"/>
      <protection locked="0"/>
    </xf>
    <xf numFmtId="192" fontId="80" fillId="0" borderId="0" xfId="362" applyNumberFormat="1" applyFont="1" applyProtection="1">
      <protection locked="0"/>
    </xf>
    <xf numFmtId="192" fontId="74" fillId="0" borderId="0" xfId="161" applyNumberFormat="1" applyFont="1" applyAlignment="1" applyProtection="1">
      <alignment horizontal="center"/>
      <protection locked="0"/>
    </xf>
    <xf numFmtId="17" fontId="80" fillId="49" borderId="0" xfId="161" quotePrefix="1" applyNumberFormat="1" applyFont="1" applyFill="1" applyAlignment="1" applyProtection="1">
      <alignment horizontal="center"/>
      <protection locked="0"/>
    </xf>
    <xf numFmtId="0" fontId="73" fillId="49" borderId="0" xfId="161" applyNumberFormat="1" applyFont="1" applyFill="1" applyProtection="1">
      <protection locked="0"/>
    </xf>
    <xf numFmtId="0" fontId="74" fillId="49" borderId="0" xfId="283" applyFont="1" applyFill="1" applyAlignment="1">
      <alignment horizontal="center"/>
    </xf>
    <xf numFmtId="0" fontId="74" fillId="49" borderId="0" xfId="283" applyFont="1" applyFill="1" applyAlignment="1">
      <alignment horizontal="center" wrapText="1"/>
    </xf>
    <xf numFmtId="192" fontId="73" fillId="49" borderId="31" xfId="161" applyNumberFormat="1" applyFont="1" applyFill="1" applyBorder="1" applyAlignment="1" applyProtection="1">
      <alignment horizontal="center"/>
      <protection locked="0"/>
    </xf>
    <xf numFmtId="3" fontId="73" fillId="49" borderId="31" xfId="283" applyNumberFormat="1" applyFont="1" applyFill="1" applyBorder="1" applyAlignment="1" applyProtection="1">
      <alignment horizontal="center"/>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Alignment="1" applyProtection="1">
      <alignment horizontal="left" vertical="center" wrapText="1"/>
      <protection locked="0"/>
    </xf>
    <xf numFmtId="0" fontId="75" fillId="0" borderId="0" xfId="161" applyNumberFormat="1" applyFont="1" applyAlignment="1" applyProtection="1">
      <alignment horizontal="left" wrapText="1"/>
      <protection locked="0"/>
    </xf>
    <xf numFmtId="0" fontId="0" fillId="0" borderId="0" xfId="0" applyAlignment="1" applyProtection="1">
      <alignment horizontal="left" vertical="center"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Alignment="1" applyProtection="1">
      <alignment horizontal="left" wrapText="1"/>
      <protection locked="0"/>
    </xf>
    <xf numFmtId="0" fontId="122" fillId="48" borderId="0" xfId="0" applyFont="1" applyFill="1" applyAlignment="1" applyProtection="1">
      <alignment horizontal="center"/>
      <protection locked="0"/>
    </xf>
    <xf numFmtId="0" fontId="75" fillId="0" borderId="0" xfId="361" applyNumberFormat="1" applyFont="1" applyAlignment="1" applyProtection="1">
      <alignment horizontal="left" vertical="center"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2">
    <dxf>
      <fill>
        <patternFill>
          <bgColor rgb="FFFF0000"/>
        </patternFill>
      </fill>
    </dxf>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ccy.sharepoint.com/sites/EUCProcesses/023/EUC%20Reports/A&amp;R/FINANCIAL%20RESULTS/2025/30-06-2025/Credit%20Risk%20Note%2006%202025/REMU/REMU%20movement%20(BFC)%2006%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80105 and A80120"/>
      <sheetName val="GROUP BY TYPE"/>
      <sheetName val="CYPRUS BY TYPE"/>
      <sheetName val="CYP001 BY TYPE"/>
      <sheetName val="CYP041 BY TYPE"/>
      <sheetName val="GREECE BY TYPE"/>
      <sheetName val="GRC001 BY TYPE"/>
      <sheetName val="GRC006 BY TYPE"/>
      <sheetName val="CYP004 BY TYPE"/>
      <sheetName val="CYP006 BY TYPE"/>
      <sheetName val="CYP007 BY TYPE"/>
      <sheetName val="CYP022 BY TYPE"/>
      <sheetName val="CYP024 BY TYPE"/>
      <sheetName val="CYP032 BY TYPE"/>
      <sheetName val="CYP045 BY TYPE"/>
      <sheetName val="ROMANIA BY TYPE"/>
      <sheetName val="RUSSIA BY TYPE"/>
      <sheetName val="SER001 BY TYPE"/>
      <sheetName val="Φύλλο2"/>
      <sheetName val="Φύλλο3"/>
    </sheetNames>
    <sheetDataSet>
      <sheetData sheetId="0">
        <row r="119">
          <cell r="D119">
            <v>4637</v>
          </cell>
          <cell r="E119">
            <v>3150</v>
          </cell>
          <cell r="F119">
            <v>-210868</v>
          </cell>
          <cell r="G119">
            <v>-774</v>
          </cell>
          <cell r="I119">
            <v>-15432</v>
          </cell>
        </row>
      </sheetData>
      <sheetData sheetId="1"/>
      <sheetData sheetId="2">
        <row r="13">
          <cell r="C13">
            <v>39219</v>
          </cell>
        </row>
        <row r="14">
          <cell r="C14">
            <v>41509</v>
          </cell>
        </row>
        <row r="15">
          <cell r="C15">
            <v>11352</v>
          </cell>
        </row>
        <row r="16">
          <cell r="C16">
            <v>7005</v>
          </cell>
        </row>
        <row r="17">
          <cell r="C17">
            <v>318648</v>
          </cell>
        </row>
        <row r="19">
          <cell r="C19">
            <v>417733</v>
          </cell>
        </row>
        <row r="24">
          <cell r="C24">
            <v>741</v>
          </cell>
        </row>
        <row r="25">
          <cell r="C25">
            <v>9611</v>
          </cell>
        </row>
        <row r="26">
          <cell r="C26">
            <v>2535</v>
          </cell>
        </row>
        <row r="27">
          <cell r="C27">
            <v>0</v>
          </cell>
        </row>
        <row r="28">
          <cell r="C28">
            <v>0</v>
          </cell>
        </row>
        <row r="30">
          <cell r="C30">
            <v>12887</v>
          </cell>
        </row>
        <row r="34">
          <cell r="C34">
            <v>746</v>
          </cell>
        </row>
        <row r="35">
          <cell r="C35">
            <v>315</v>
          </cell>
        </row>
        <row r="36">
          <cell r="C36">
            <v>0</v>
          </cell>
        </row>
        <row r="37">
          <cell r="C37">
            <v>0</v>
          </cell>
        </row>
        <row r="38">
          <cell r="C38">
            <v>0</v>
          </cell>
        </row>
        <row r="40">
          <cell r="C40">
            <v>1061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4388" id="{38450D3C-4053-41AC-92BE-E9C5ABB419CD}" userId="4388" providerId="None"/>
  <person displayName="v912" id="{842DDB87-CE24-4CAA-A466-67C46DB0A566}" userId="v912"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personId="{38450D3C-4053-41AC-92BE-E9C5ABB419CD}" id="{CD185F85-ED42-4106-802B-CAB92037632D}">
    <text xml:space="preserve">including A80120 and A80130
+1,618 CYP001 A80130
+3,796 CYP041 A80130
including: Laiki Small Units 1,477
excluding: GIC -1.243
</text>
  </threadedComment>
  <threadedComment ref="C4" personId="{38450D3C-4053-41AC-92BE-E9C5ABB419CD}" id="{AD3D9B7F-25DE-4ACB-A678-A5B2DD353F99}">
    <text xml:space="preserve">including A80120 and A80130
+1,618 CYP001 A80130
+3,796 CYP041 A80130
including: Laiki Small Units 1,477
excluding: GIC -1.243
</text>
  </threadedComment>
  <threadedComment ref="D4" personId="{38450D3C-4053-41AC-92BE-E9C5ABB419CD}" id="{D1022B8F-A23A-4325-AEB6-456DF4BB2500}">
    <text xml:space="preserve">including A80120 and A80130
+1,618 CYP001 A80130
+3,796 CYP041 A80130
including: Laiki Small Units 1,477
excluding: GIC -1.243
</text>
  </threadedComment>
  <threadedComment ref="E4" personId="{38450D3C-4053-41AC-92BE-E9C5ABB419CD}" id="{2C1E4D14-5FB3-4B0E-971E-C6DADB3D5372}">
    <text xml:space="preserve">including A80120 and A80130
+1,618 CYP001 A80130
+3,796 CYP041 A80130
including: Laiki Small Units 1,477
excluding: GIC -1.243
</text>
  </threadedComment>
  <threadedComment ref="F4" personId="{38450D3C-4053-41AC-92BE-E9C5ABB419CD}" id="{74CD2C05-87BD-4FF7-9A8B-6C612AB7F583}">
    <text>including A80120
including: Laiki Small Units 1,477
excluding: GIC -1,243</text>
  </threadedComment>
  <threadedComment ref="G4" personId="{38450D3C-4053-41AC-92BE-E9C5ABB419CD}" id="{02738093-7333-4DEE-9C2C-7C52A566B7CF}">
    <text>including A80120
including: Laiki Small Units 1,477
excluding: GIC -1,243</text>
  </threadedComment>
  <threadedComment ref="H4" personId="{38450D3C-4053-41AC-92BE-E9C5ABB419CD}" id="{BFC1380A-5C9F-4332-A0D2-87B106F8F276}">
    <text>including 
Laiki Small Units 1,477
-1,243 GIC</text>
  </threadedComment>
  <threadedComment ref="I4" personId="{38450D3C-4053-41AC-92BE-E9C5ABB419CD}" id="{387997AB-A624-4006-955A-402F74792DD3}">
    <text>including 
Laiki Small Units 1,477
-1,243 GIC</text>
  </threadedComment>
  <threadedComment ref="J4" personId="{38450D3C-4053-41AC-92BE-E9C5ABB419CD}" id="{E912D9D8-9900-4DAC-BD8B-DF8105E551B9}">
    <text>including 
KPI 15,090
Laiki Small Units 1,477</text>
  </threadedComment>
  <threadedComment ref="K4" personId="{38450D3C-4053-41AC-92BE-E9C5ABB419CD}" id="{9A6F9B84-F839-4983-93AA-0547AE3703BE}">
    <text>including 
KPI 15,090
Laiki Small Units 1,477</text>
  </threadedComment>
  <threadedComment ref="L4" personId="{38450D3C-4053-41AC-92BE-E9C5ABB419CD}" id="{4C8B5886-F09B-413A-BB1F-0D26EC0E1739}">
    <text>including 
KPI 15,090
Laiki Small Units 1,477</text>
  </threadedComment>
  <threadedComment ref="M4" personId="{38450D3C-4053-41AC-92BE-E9C5ABB419CD}" id="{E56B2942-125C-4A40-ACAC-89F0B98609A5}">
    <text>including 
KPI 15,090
Laiki Small Units 1,477</text>
  </threadedComment>
  <threadedComment ref="N4" personId="{38450D3C-4053-41AC-92BE-E9C5ABB419CD}" id="{7340BB1B-F2CB-43F8-9EE2-908C49A0A4E7}">
    <text>including 
KPI 15,775
Laiki Small Units 1,477</text>
  </threadedComment>
  <threadedComment ref="O4" personId="{38450D3C-4053-41AC-92BE-E9C5ABB419CD}" id="{AF4969F9-7841-4B81-804D-ABF2138AB7CB}">
    <text>including 
KPI 15,775
Laiki Small Units 1,477</text>
  </threadedComment>
  <threadedComment ref="P4" personId="{38450D3C-4053-41AC-92BE-E9C5ABB419CD}" id="{D0B0F915-6A0A-493D-8D1F-42FFFC87D24E}">
    <text>including 
KPI 15,775
Laiki Small Units 1,477</text>
  </threadedComment>
  <threadedComment ref="B5" personId="{38450D3C-4053-41AC-92BE-E9C5ABB419CD}" id="{A5F6F419-028A-40B2-B350-AAF06284944D}">
    <text>2,231 Capitalization of Stock of Properties</text>
  </threadedComment>
  <threadedComment ref="C5" personId="{38450D3C-4053-41AC-92BE-E9C5ABB419CD}" id="{2E15296A-2F1E-428D-A365-285F6E108ADE}">
    <text>2,231 Capitalization of Stock of Properties</text>
  </threadedComment>
  <threadedComment ref="D5" personId="{38450D3C-4053-41AC-92BE-E9C5ABB419CD}" id="{EE6357B1-D031-49F6-AC96-C291430A88FD}">
    <text>2,231 Capitalization of Stock of Properties</text>
  </threadedComment>
  <threadedComment ref="E5" personId="{38450D3C-4053-41AC-92BE-E9C5ABB419CD}" id="{F4487064-57A4-4329-BED2-93F8936179A6}">
    <text>3,189 Capitalization of Stock of Properties</text>
  </threadedComment>
  <threadedComment ref="F5" personId="{38450D3C-4053-41AC-92BE-E9C5ABB419CD}" id="{82AD2B1E-6C89-4150-AC31-10F2BDC2A79E}">
    <text>3,189 Capitalization of Stock of Properties</text>
  </threadedComment>
  <threadedComment ref="G5" personId="{38450D3C-4053-41AC-92BE-E9C5ABB419CD}" id="{B6C3E0C0-F326-424E-9B50-11990D286421}">
    <text>3,189 Capitalization of Stock of Properties</text>
  </threadedComment>
  <threadedComment ref="H5" personId="{38450D3C-4053-41AC-92BE-E9C5ABB419CD}" id="{32D59083-D96A-41BD-A84B-E28327E27D43}">
    <text>3,189 Capitalization of Stock of Properties</text>
  </threadedComment>
  <threadedComment ref="I5" personId="{38450D3C-4053-41AC-92BE-E9C5ABB419CD}" id="{26213D61-86EE-408C-BEF4-EEC79F3E8ECE}">
    <text>3,189 Capitalization of Stock of Properties</text>
  </threadedComment>
  <threadedComment ref="J5" personId="{38450D3C-4053-41AC-92BE-E9C5ABB419CD}" id="{74EFEF1E-3927-4773-90FA-1CE302EE7029}">
    <text>3,189 Capitalization of Stock of Properties</text>
  </threadedComment>
  <threadedComment ref="K5" personId="{38450D3C-4053-41AC-92BE-E9C5ABB419CD}" id="{E325DBC9-761B-42C8-87BE-7CE638E25F64}">
    <text>3,189 Capitalization of Stock of Properties</text>
  </threadedComment>
  <threadedComment ref="L5" personId="{38450D3C-4053-41AC-92BE-E9C5ABB419CD}" id="{9002338A-012C-4322-9AB4-1C26D93CD973}">
    <text>3,178 Capitalization of Stock of Properties</text>
  </threadedComment>
  <threadedComment ref="M5" personId="{38450D3C-4053-41AC-92BE-E9C5ABB419CD}" id="{B5FCC5FC-4456-4346-8311-9B09441526F6}">
    <text>3,037 Capitalization of Stock of Properties</text>
  </threadedComment>
  <threadedComment ref="Q5" personId="{38450D3C-4053-41AC-92BE-E9C5ABB419CD}" id="{7D1713D9-00FE-4965-8454-7D403567D235}">
    <text>21,805 Ex-Laiki Building (Fota Kalispera)</text>
  </threadedComment>
  <threadedComment ref="R5" personId="{38450D3C-4053-41AC-92BE-E9C5ABB419CD}" id="{B89FC146-38C1-44CB-8B1B-25E2776EF48B}">
    <text>21,805 Ex-Laiki Building (Fota Kalispera)</text>
  </threadedComment>
  <threadedComment ref="X6" personId="{842DDB87-CE24-4CAA-A466-67C46DB0A566}" id="{A08FBFA1-0221-482C-BE80-09A7A4F99CCA}">
    <text xml:space="preserve">91,569
+HELIX
</text>
  </threadedComment>
  <threadedComment ref="E7" personId="{38450D3C-4053-41AC-92BE-E9C5ABB419CD}" id="{1C45D51A-5031-46B5-BAD3-91BEB816BE5C}">
    <text>Mainly, Edoric Properties Ltd
Orphanides Mall
Transferred from Stock of Properties (which was in CYP041) to own properties in CYP001 books</text>
  </threadedComment>
  <threadedComment ref="F7" personId="{38450D3C-4053-41AC-92BE-E9C5ABB419CD}" id="{56F84846-413F-4A38-AD68-2326B60D119C}">
    <text>Mainly, Edoric Properties Ltd
Orphanides Mall
Transferred from Stock of Properties (which was in CYP041) to own properties in CYP001 books</text>
  </threadedComment>
  <threadedComment ref="G7" personId="{38450D3C-4053-41AC-92BE-E9C5ABB419CD}" id="{84767A09-CD0E-400B-A976-724F3411F427}">
    <text>Mainly, Edoric Properties Ltd
Orphanides Mall
Transferred from Stock of Properties (which was in CYP041) to own properties in CYP001 books</text>
  </threadedComment>
  <threadedComment ref="H7" personId="{38450D3C-4053-41AC-92BE-E9C5ABB419CD}" id="{6B31FED5-9687-444A-9528-BC556501FD92}">
    <text xml:space="preserve">Mainly, Edoric Properties Ltd
Orphanides Mall
Transferred from Stock of Properties (which was in CYP041) to own properties in CYP001 books
</text>
  </threadedComment>
  <threadedComment ref="I7" personId="{38450D3C-4053-41AC-92BE-E9C5ABB419CD}" id="{1D232193-C157-4615-A889-F7D78C8F4D4F}">
    <text xml:space="preserve">Mainly, Edoric Properties Ltd
Orphanides Mall
Transferred from Stock of Properties (which was in CYP041) to own properties in CYP001 books
</text>
  </threadedComment>
  <threadedComment ref="N7" personId="{38450D3C-4053-41AC-92BE-E9C5ABB419CD}" id="{DB1E1D6F-267E-4575-9FB1-C6577693A87B}">
    <text>HFS Stock of Properties (Helix 2&amp;3)</text>
  </threadedComment>
  <threadedComment ref="O7" personId="{38450D3C-4053-41AC-92BE-E9C5ABB419CD}" id="{89B11A40-D2FD-4231-B411-AF3B883BAEB8}">
    <text>HFS Stock of Properties (Helix 2&amp;3)</text>
  </threadedComment>
  <threadedComment ref="P7" personId="{38450D3C-4053-41AC-92BE-E9C5ABB419CD}" id="{317EEF1D-802E-4B37-98C2-62A8CED3D203}">
    <text>HFS Stock of Properties (Helix 2)</text>
  </threadedComment>
  <threadedComment ref="Q7" personId="{38450D3C-4053-41AC-92BE-E9C5ABB419CD}" id="{82C381D1-61EA-4BC2-B177-5E0E34629600}">
    <text>HFS Stock of Properties (Helix 2)</text>
  </threadedComment>
  <threadedComment ref="R7" personId="{38450D3C-4053-41AC-92BE-E9C5ABB419CD}" id="{2A4B5545-04C3-4F98-B822-F7C17EE92AB0}">
    <text>HFS Stock of Properties (Helix 2)</text>
  </threadedComment>
  <threadedComment ref="S7" personId="{38450D3C-4053-41AC-92BE-E9C5ABB419CD}" id="{F59E9E6C-7CAA-4FE9-A42F-1DBFD7B0C63F}">
    <text>HFS Stock of Properties (Helix 2)</text>
  </threadedComment>
  <threadedComment ref="T7" personId="{38450D3C-4053-41AC-92BE-E9C5ABB419CD}" id="{760B8C7C-4674-40C8-A887-9B81AEE05ABB}">
    <text>HFS Stock of Properties (Helix 2)</text>
  </threadedComment>
  <threadedComment ref="Z7" personId="{38450D3C-4053-41AC-92BE-E9C5ABB419CD}" id="{ED1AF4DF-5F49-42C3-81A6-9DF8BD680A7F}">
    <text>AIF</text>
  </threadedComment>
  <threadedComment ref="AA7" personId="{38450D3C-4053-41AC-92BE-E9C5ABB419CD}" id="{E647686C-98F6-42E7-AFCB-A8E1FC320196}">
    <text>AIF</text>
  </threadedComment>
  <threadedComment ref="AB7" personId="{38450D3C-4053-41AC-92BE-E9C5ABB419CD}" id="{64C96A01-F527-4032-A373-8F396FAF511D}">
    <text>AIF</text>
  </threadedComment>
  <threadedComment ref="AC7" personId="{38450D3C-4053-41AC-92BE-E9C5ABB419CD}" id="{FC951008-5D2F-465D-8B56-07090BBD2CCD}">
    <text>AIF</text>
  </threadedComment>
  <threadedComment ref="M8" personId="{38450D3C-4053-41AC-92BE-E9C5ABB419CD}" id="{2424505B-FD82-4C6E-9EA5-D429B68D7043}">
    <text xml:space="preserve"> Capitalization of Stock of Properties
</text>
  </threadedComment>
  <threadedComment ref="N8" personId="{38450D3C-4053-41AC-92BE-E9C5ABB419CD}" id="{0D7818F3-3C4B-4015-8D31-81684DE43D7A}">
    <text>+0,908 Capitalization of Stock of Properties
-0,093 Romania SPVs FX</text>
  </threadedComment>
  <threadedComment ref="O8" personId="{38450D3C-4053-41AC-92BE-E9C5ABB419CD}" id="{50BE2D81-1351-4433-A241-F0A90897DC9B}">
    <text>+0,908 Capitalization of Stock of Properties
-0,093 Romania SPVs FX</text>
  </threadedComment>
  <threadedComment ref="P8" personId="{38450D3C-4053-41AC-92BE-E9C5ABB419CD}" id="{B396135D-53E1-4A6D-A998-0FF75DE64463}">
    <text>+0,610 Capitalization of Stock of Properties
-0,078 Romania SPVs FX</text>
  </threadedComment>
  <threadedComment ref="Q8" personId="{38450D3C-4053-41AC-92BE-E9C5ABB419CD}" id="{28D0BD1E-4455-4487-8C2E-2F69D1759175}">
    <text>+0,391 Capitalization of Stock of Properties
-0,80 Romania SPVs FX</text>
  </threadedComment>
  <threadedComment ref="R8" personId="{38450D3C-4053-41AC-92BE-E9C5ABB419CD}" id="{39DB0A8D-5DA9-4231-B844-A7A85FFD5C9E}">
    <text>+0,259 Capitalization of Stock of Properties
-0,147 Romania SPVs FX</text>
  </threadedComment>
  <threadedComment ref="S8" personId="{38450D3C-4053-41AC-92BE-E9C5ABB419CD}" id="{D9CB0664-1E1E-4B02-B9E2-1881BB659369}">
    <text>+0,155 Capitalization of Stock of Properties
+0,080 Capitalization of Investment Properties
-0,158 Romania SPVs FX</text>
  </threadedComment>
  <threadedComment ref="T8" personId="{38450D3C-4053-41AC-92BE-E9C5ABB419CD}" id="{8C1307EC-17E6-47F6-A6FB-C3E64900C473}">
    <text>+0,197 Capitalization of Stock of Properties
+0,080 Capitalization of Investment Properties
-0,108 Romania SPVs FX</text>
  </threadedComment>
  <threadedComment ref="U8" personId="{38450D3C-4053-41AC-92BE-E9C5ABB419CD}" id="{90C49523-81ED-4A3A-9636-D2AC320490BB}">
    <text>+0,080 Capitalization of Stock of Properties
+0,082 Capitalization of Investment Properties
-0,84 Romania SPVs FX</text>
  </threadedComment>
  <threadedComment ref="X8" personId="{38450D3C-4053-41AC-92BE-E9C5ABB419CD}" id="{6932F31B-3CC9-4345-A5E5-99DE39B41887}">
    <text>Disposal of Helix stock
73899  HELIX stock of property December 2018</text>
  </threadedComment>
  <threadedComment ref="Y8" personId="{38450D3C-4053-41AC-92BE-E9C5ABB419CD}" id="{ECB6789B-33A5-433A-BA50-106630DCE20E}">
    <text>98414 HELIX stock of property March 2019
73899  HELIX stock of property December 2018</text>
  </threadedComment>
  <threadedComment ref="B9" personId="{38450D3C-4053-41AC-92BE-E9C5ABB419CD}" id="{A79C86C9-ADE5-4AF0-8B06-77CCCFB6B91B}">
    <text>including A80120 and A80130
+1,270 CYP001 A80130
+0 CYP041 A80130
including: Laiki Small Units 1,477
excluding: GIC -1.030</text>
  </threadedComment>
  <threadedComment ref="C9" personId="{38450D3C-4053-41AC-92BE-E9C5ABB419CD}" id="{4EBA0AE6-D5C1-44B9-8229-5571D62CCB53}">
    <text>including A80120 and A80130
+1,423 CYP001 A80130
+0 CYP041 A80130
including: Laiki Small Units 1,477
excluding: GIC -1.066</text>
  </threadedComment>
  <threadedComment ref="D9" personId="{38450D3C-4053-41AC-92BE-E9C5ABB419CD}" id="{7FCFB436-CA0A-4392-A540-ECD4090E4A4E}">
    <text>including A80120 and A80130
+2,274 CYP001 A80130
+3,299 CYP041 A80130
including: Laiki Small Units 1,477
excluding: GIC -1.066</text>
  </threadedComment>
  <threadedComment ref="E9" personId="{38450D3C-4053-41AC-92BE-E9C5ABB419CD}" id="{3B940FBA-1BAF-435B-A93F-CC823BFA2B44}">
    <text>including A80120 and A80130
+1,052 CYP001 A80130
+3,384 CYP041 A80130
including: Laiki Small Units 1,477
excluding: GIC -1.243</text>
  </threadedComment>
  <threadedComment ref="F9" personId="{38450D3C-4053-41AC-92BE-E9C5ABB419CD}" id="{C1BCFE0A-6812-4952-B1DB-184F563E24DA}">
    <text>including A80120 and A80130
+1,618 CYP001 A80130
+3,796 CYP041 A80130
including: Laiki Small Units 1,477
excluding: GIC -1.243</text>
  </threadedComment>
  <threadedComment ref="G9" personId="{38450D3C-4053-41AC-92BE-E9C5ABB419CD}" id="{D1207D5D-B7C2-4D2D-8D91-F87F60626F35}">
    <text>including A80120 and A80130
+3,011 CYP001 A80130
+3,796 CYP041 A80130
including: Laiki Small Units 1,477
excluding: GIC -1.243</text>
  </threadedComment>
  <threadedComment ref="H9" personId="{38450D3C-4053-41AC-92BE-E9C5ABB419CD}" id="{565E2578-E1AA-41EB-9757-92F303A0E766}">
    <text>including 
+4,339 CYP001 A80130
+3,796 CYP041 A80130
Laiki Small Units 1,477
-1,243 GIC</text>
  </threadedComment>
  <threadedComment ref="I9" personId="{38450D3C-4053-41AC-92BE-E9C5ABB419CD}" id="{DDDEC752-9289-4AEC-BAAB-A6EDBEDC0052}">
    <text>including 
Laiki Small Units 1,477
-1,243 GIC</text>
  </threadedComment>
  <threadedComment ref="J9" personId="{38450D3C-4053-41AC-92BE-E9C5ABB419CD}" id="{6F613829-54FD-4E0B-AA88-9AB609DC4FCB}">
    <text>including 
Laiki Small Units 1,477
-1,243 GIC</text>
  </threadedComment>
  <threadedComment ref="K9" personId="{38450D3C-4053-41AC-92BE-E9C5ABB419CD}" id="{C4694E78-8FD8-4E57-949B-C7451947F95E}">
    <text xml:space="preserve">including 
Laiki Small Units 1,477
-1,186 GIC
</text>
  </threadedComment>
  <threadedComment ref="L9" personId="{38450D3C-4053-41AC-92BE-E9C5ABB419CD}" id="{1663FBB2-EF99-4B66-9D5C-7281F444F923}">
    <text>including 
Laiki Small Units 1,477
-1,186 GIC</text>
  </threadedComment>
  <threadedComment ref="M9" personId="{38450D3C-4053-41AC-92BE-E9C5ABB419CD}" id="{825325EC-5387-441E-8FCF-2DE170B5774E}">
    <text>including 
KPI 7,600
Laiki Small Units 1,477</text>
  </threadedComment>
  <threadedComment ref="N9" personId="{38450D3C-4053-41AC-92BE-E9C5ABB419CD}" id="{CEE035D6-EAC7-48BE-A13D-B1FF55FD4E08}">
    <text>including 
KPI 15,775
Laiki Small Units 1,477</text>
  </threadedComment>
  <threadedComment ref="O9" personId="{38450D3C-4053-41AC-92BE-E9C5ABB419CD}" id="{779EAF29-365A-4EDC-8CB4-E2FB98C6CE81}">
    <text>including 
KPI 15,775
Laiki Small Units 1,477</text>
  </threadedComment>
  <threadedComment ref="P9" personId="{38450D3C-4053-41AC-92BE-E9C5ABB419CD}" id="{F89B743B-86E8-443B-A958-D6514B8661C2}">
    <text>including 
KPI 15,775
Laiki Small Units 1,477</text>
  </threadedComment>
  <threadedComment ref="X9" personId="{38450D3C-4053-41AC-92BE-E9C5ABB419CD}" id="{32D46ADD-32A8-4D6E-BC67-0A034A43C2D3}">
    <text>1640425=1542011 (Stock of property)+98414 (HELIX Stock of Property)</text>
  </threadedComment>
  <threadedComment ref="Y9" personId="{38450D3C-4053-41AC-92BE-E9C5ABB419CD}" id="{B590C835-BC65-4417-8494-C478062F9099}">
    <text>1640425=1542011 (Stock of property)+98414 (HELIX Stock of Property)</text>
  </threadedComment>
  <threadedComment ref="Z9" personId="{38450D3C-4053-41AC-92BE-E9C5ABB419CD}" id="{448AD738-A8F4-4B86-A96A-A735F45AE8FD}">
    <text>1692309=1530388 (Stock of property)+73899 (HELIX Stock of Property)+88022
88022 relates to Nicosia Mall Stock of property 
see note 30 of FS</text>
  </threadedComment>
  <threadedComment ref="AM10" personId="{38450D3C-4053-41AC-92BE-E9C5ABB419CD}" id="{2280DAE8-690E-4757-ACBF-897197B8DD0E}">
    <text>Investment Properties 
26,866 A80120
9,385 A80130
minus
1,030 A80120 CYP004
5,825 A80130 CYP004
2,290 A80130 CYP005</text>
  </threadedComment>
  <threadedComment ref="AN10" personId="{38450D3C-4053-41AC-92BE-E9C5ABB419CD}" id="{10991E38-0A2A-4279-B29E-64DAC4E20DC9}">
    <text>Investment Properties 
41,508 A80120
14,106 A80130
minus
1,066 A80120 CYP004
6,243 A80130 CYP004
2,290 A80130 CYP005</text>
  </threadedComment>
  <threadedComment ref="AO10" personId="{38450D3C-4053-41AC-92BE-E9C5ABB419CD}" id="{17B44FCA-96FA-4565-A538-ADE9A92E5B43}">
    <text>Investment Properties 
41,508 A80120
14,106 A80130
minus
1,066 A80120 CYP004
6,243 A80130 CYP004
2,290 A80130 CYP005</text>
  </threadedComment>
  <threadedComment ref="AP10" personId="{38450D3C-4053-41AC-92BE-E9C5ABB419CD}" id="{DA4E602B-4599-443A-9E2E-6B8DA663570F}">
    <text>Investment Properties 48,158 A80120
13,947 A80130
minus
1,243 A80120 CYP004
6,243 A80130 CYP004
2,290 A80130 CYP005</text>
  </threadedComment>
  <threadedComment ref="AQ10" personId="{38450D3C-4053-41AC-92BE-E9C5ABB419CD}" id="{1EC5CE94-EFB0-46D6-9A0F-F022F15317AF}">
    <text>Investment Properties 48,158 A80120
13,947 A80130
minus
1,243 A80120 CYP004
6,243 A80130 CYP004
2,290 A80130 CYP005</text>
  </threadedComment>
  <threadedComment ref="AR10" personId="{38450D3C-4053-41AC-92BE-E9C5ABB419CD}" id="{6BFAEE14-ACD5-41AD-A2BC-53AD604D835C}">
    <text>Investment Properties 55,534 A80120
15,671 A80130
minus
1,243 A80120 CYP004
6,254 A80130 CYP004
2,610 A80130 CYP005</text>
  </threadedComment>
  <threadedComment ref="AS10" personId="{38450D3C-4053-41AC-92BE-E9C5ABB419CD}" id="{5C133AAE-88A3-4D74-BADD-C770ADDE7FEA}">
    <text>Investment Properties 57,340 A80120
16,999 A80130
minus
1,243 A80120 CYP004
6,254 A80130 CYP004
2,610 A80130 CYP005</text>
  </threadedComment>
  <threadedComment ref="AT10" personId="{38450D3C-4053-41AC-92BE-E9C5ABB419CD}" id="{C97C0B8D-73B1-479B-8C3B-66FF1A78CAC0}">
    <text>Investment Properties 66,527 A80120
16,533 A80130
minus
1,243 A80120 CYP004
6,254 A80130 CYP004
2,610 A80130 CYP005</text>
  </threadedComment>
  <threadedComment ref="AU10" personId="{38450D3C-4053-41AC-92BE-E9C5ABB419CD}" id="{D64337B0-895A-44A6-9274-F3FC1433E660}">
    <text>Investment Properties 76,235 A80120 minus
1,243 A80120 CYP004</text>
  </threadedComment>
  <threadedComment ref="AV10" personId="{38450D3C-4053-41AC-92BE-E9C5ABB419CD}" id="{8BA2FA87-4CC0-4CE8-9C08-3C46D25F19D5}">
    <text>Investment Properties 88,514 minus
87,935 HFS Stock of Properties 09/2022
9,227 A80130
1,186 A80120 CYP004</text>
  </threadedComment>
  <threadedComment ref="AW10" personId="{38450D3C-4053-41AC-92BE-E9C5ABB419CD}" id="{57BBB889-EC4A-4040-A4C6-C007896D9C17}">
    <text>Investment Properties 102,040 minus
90,083 HFS Stock of Properties 06/2022
9,231 A80130
1,186 A80120 CYP004</text>
  </threadedComment>
  <threadedComment ref="AX10" personId="{38450D3C-4053-41AC-92BE-E9C5ABB419CD}" id="{F0CF1B4F-464A-4AD8-A2AA-D5476AFC281A}">
    <text xml:space="preserve">Investment Properties 91,172 minus
94,394 HFS Stock of Properties 03/2022
</text>
  </threadedComment>
  <threadedComment ref="AY10" personId="{38450D3C-4053-41AC-92BE-E9C5ABB419CD}" id="{F6AC3783-566A-4C15-93EC-1F7F137E6F1E}">
    <text xml:space="preserve">Investment Properties 103,393 minus
98,172 HFS Stock of Properties 12/2021
</text>
  </threadedComment>
  <threadedComment ref="AZ10" personId="{38450D3C-4053-41AC-92BE-E9C5ABB419CD}" id="{04AAA704-8410-453D-8315-1EB9A7E76A03}">
    <text xml:space="preserve">Investment Properties 110,101 minus
100,976 HFS Stock of Properties 09/2021
</text>
  </threadedComment>
  <threadedComment ref="BA10" personId="{38450D3C-4053-41AC-92BE-E9C5ABB419CD}" id="{56149233-8F93-4A40-AE43-BFE1FC9174A0}">
    <text xml:space="preserve">Investment Properties 119,212 minus
</text>
  </threadedComment>
  <threadedComment ref="BB10" personId="{38450D3C-4053-41AC-92BE-E9C5ABB419CD}" id="{C2417CB3-D145-4F20-ACFC-9C34274A97DC}">
    <text>Investment Properties 105,070 minus
57,525+1,248 HFS Stock of Properties 12/2020
3,380+1,696 HFS Stock of Properties 03/2021</text>
  </threadedComment>
  <threadedComment ref="BC10" personId="{38450D3C-4053-41AC-92BE-E9C5ABB419CD}" id="{0259F938-2CB9-492B-82FF-BCEE0C109C2E}">
    <text>Investment Properties 107,121 minus
57,525+1,248 HFS Stock of Properties</text>
  </threadedComment>
  <threadedComment ref="BD10" personId="{38450D3C-4053-41AC-92BE-E9C5ABB419CD}" id="{3E58394A-7770-43B8-A8C9-7DD776708194}">
    <text>Investment Properties 109,072 minus
11,321 HFS Stock of Properties</text>
  </threadedComment>
  <threadedComment ref="BE10" personId="{38450D3C-4053-41AC-92BE-E9C5ABB419CD}" id="{09CB27EA-9468-4CC6-BE18-59E60B2A8712}">
    <text>Investment Properties 111,568 minus 10,651 HFS Stock of Properties</text>
  </threadedComment>
  <threadedComment ref="BF10" personId="{38450D3C-4053-41AC-92BE-E9C5ABB419CD}" id="{D5AD18C1-6731-4EEA-8226-A7CB3EB75248}">
    <text>Investment Properties</text>
  </threadedComment>
  <threadedComment ref="BG10" personId="{38450D3C-4053-41AC-92BE-E9C5ABB419CD}" id="{AEE9378C-FA6A-482B-89B3-005B78FF500F}">
    <text>Investment Properties</text>
  </threadedComment>
  <threadedComment ref="BH10" personId="{38450D3C-4053-41AC-92BE-E9C5ABB419CD}" id="{35AC5EE0-802D-47F8-9248-1FD92E481093}">
    <text>Investment Properties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2"/>
  <sheetViews>
    <sheetView showGridLines="0" zoomScaleNormal="100" workbookViewId="0">
      <selection activeCell="A3" sqref="A3"/>
    </sheetView>
  </sheetViews>
  <sheetFormatPr defaultRowHeight="15"/>
  <cols>
    <col min="1" max="1" width="57.140625" customWidth="1"/>
    <col min="3" max="3" width="6.28515625" customWidth="1"/>
    <col min="6" max="6" width="12.5703125" customWidth="1"/>
  </cols>
  <sheetData>
    <row r="1" spans="1:6" ht="18">
      <c r="A1" s="2"/>
      <c r="B1" s="2"/>
      <c r="C1" s="2"/>
      <c r="D1" s="2"/>
      <c r="E1" s="2"/>
      <c r="F1" s="4"/>
    </row>
    <row r="2" spans="1:6" ht="18">
      <c r="A2" s="2"/>
      <c r="B2" s="2"/>
      <c r="C2" s="2"/>
      <c r="D2" s="2"/>
      <c r="E2" s="2"/>
      <c r="F2" s="4"/>
    </row>
    <row r="3" spans="1:6" ht="18">
      <c r="A3" s="3" t="s">
        <v>184</v>
      </c>
      <c r="B3" s="3"/>
      <c r="C3" s="3"/>
      <c r="D3" s="3"/>
      <c r="E3" s="3"/>
      <c r="F3" s="5"/>
    </row>
    <row r="4" spans="1:6" ht="21">
      <c r="A4" s="325" t="s">
        <v>236</v>
      </c>
      <c r="B4" s="325"/>
      <c r="C4" s="325"/>
      <c r="D4" s="325"/>
      <c r="E4" s="325"/>
      <c r="F4" s="5"/>
    </row>
    <row r="5" spans="1:6">
      <c r="A5" s="6"/>
      <c r="B5" s="6"/>
      <c r="C5" s="6"/>
      <c r="D5" s="6"/>
      <c r="E5" s="6"/>
      <c r="F5" s="13"/>
    </row>
    <row r="6" spans="1:6">
      <c r="A6" s="324" t="s">
        <v>0</v>
      </c>
      <c r="B6" s="324"/>
      <c r="C6" s="170"/>
      <c r="D6" s="15"/>
      <c r="E6" s="15" t="s">
        <v>107</v>
      </c>
      <c r="F6" s="13"/>
    </row>
    <row r="7" spans="1:6">
      <c r="A7" s="324" t="s">
        <v>1</v>
      </c>
      <c r="B7" s="324"/>
      <c r="C7" s="7"/>
      <c r="D7" s="15"/>
      <c r="E7" s="15" t="s">
        <v>107</v>
      </c>
      <c r="F7" s="13"/>
    </row>
    <row r="8" spans="1:6">
      <c r="A8" s="170" t="s">
        <v>230</v>
      </c>
      <c r="B8" s="224"/>
      <c r="C8" s="7"/>
      <c r="D8" s="15"/>
      <c r="E8" s="15" t="s">
        <v>107</v>
      </c>
      <c r="F8" s="13"/>
    </row>
    <row r="9" spans="1:6">
      <c r="A9" s="170" t="s">
        <v>231</v>
      </c>
      <c r="B9" s="224"/>
      <c r="C9" s="7"/>
      <c r="D9" s="15"/>
      <c r="E9" s="15" t="s">
        <v>107</v>
      </c>
      <c r="F9" s="13"/>
    </row>
    <row r="10" spans="1:6">
      <c r="A10" s="170" t="s">
        <v>2</v>
      </c>
      <c r="B10" s="8"/>
      <c r="C10" s="7"/>
      <c r="D10" s="15"/>
      <c r="E10" s="15" t="s">
        <v>107</v>
      </c>
      <c r="F10" s="13"/>
    </row>
    <row r="11" spans="1:6">
      <c r="A11" s="170" t="s">
        <v>3</v>
      </c>
      <c r="B11" s="8"/>
      <c r="C11" s="7"/>
      <c r="D11" s="15"/>
      <c r="E11" s="15" t="s">
        <v>107</v>
      </c>
      <c r="F11" s="13"/>
    </row>
    <row r="12" spans="1:6">
      <c r="A12" s="324" t="s">
        <v>4</v>
      </c>
      <c r="B12" s="324"/>
      <c r="C12" s="324"/>
      <c r="D12" s="15"/>
      <c r="E12" s="15" t="s">
        <v>108</v>
      </c>
      <c r="F12" s="13"/>
    </row>
    <row r="13" spans="1:6">
      <c r="A13" s="324" t="s">
        <v>5</v>
      </c>
      <c r="B13" s="324"/>
      <c r="C13" s="7"/>
      <c r="D13" s="15"/>
      <c r="E13" s="15" t="s">
        <v>108</v>
      </c>
      <c r="F13" s="13"/>
    </row>
    <row r="14" spans="1:6">
      <c r="A14" s="324" t="s">
        <v>2</v>
      </c>
      <c r="B14" s="324"/>
      <c r="C14" s="7"/>
      <c r="D14" s="15"/>
      <c r="E14" s="15" t="s">
        <v>108</v>
      </c>
      <c r="F14" s="13"/>
    </row>
    <row r="15" spans="1:6">
      <c r="A15" s="170" t="s">
        <v>6</v>
      </c>
      <c r="B15" s="170"/>
      <c r="C15" s="7"/>
      <c r="D15" s="15"/>
      <c r="E15" s="15" t="s">
        <v>108</v>
      </c>
      <c r="F15" s="13"/>
    </row>
    <row r="16" spans="1:6">
      <c r="A16" s="170" t="s">
        <v>7</v>
      </c>
      <c r="B16" s="170"/>
      <c r="C16" s="1"/>
      <c r="D16" s="15"/>
      <c r="E16" s="15" t="s">
        <v>108</v>
      </c>
      <c r="F16" s="13"/>
    </row>
    <row r="17" spans="1:6">
      <c r="A17" s="170" t="s">
        <v>8</v>
      </c>
      <c r="B17" s="170"/>
      <c r="C17" s="7"/>
      <c r="D17" s="15"/>
      <c r="E17" s="15" t="s">
        <v>108</v>
      </c>
      <c r="F17" s="13"/>
    </row>
    <row r="18" spans="1:6">
      <c r="A18" s="170" t="s">
        <v>694</v>
      </c>
      <c r="B18" s="170"/>
      <c r="C18" s="9"/>
      <c r="D18" s="15"/>
      <c r="E18" s="15" t="s">
        <v>9</v>
      </c>
      <c r="F18" s="13"/>
    </row>
    <row r="19" spans="1:6">
      <c r="A19" s="170" t="s">
        <v>678</v>
      </c>
      <c r="B19" s="222"/>
      <c r="C19" s="9"/>
      <c r="D19" s="15"/>
      <c r="E19" s="15" t="s">
        <v>9</v>
      </c>
      <c r="F19" s="14"/>
    </row>
    <row r="20" spans="1:6">
      <c r="A20" s="170" t="s">
        <v>11</v>
      </c>
      <c r="B20" s="170"/>
      <c r="C20" s="10"/>
      <c r="D20" s="15"/>
      <c r="E20" s="15" t="s">
        <v>9</v>
      </c>
      <c r="F20" s="14"/>
    </row>
    <row r="21" spans="1:6">
      <c r="A21" s="170" t="s">
        <v>12</v>
      </c>
      <c r="B21" s="170"/>
      <c r="C21" s="10"/>
      <c r="D21" s="15"/>
      <c r="E21" s="15" t="s">
        <v>9</v>
      </c>
      <c r="F21" s="14"/>
    </row>
    <row r="22" spans="1:6">
      <c r="A22" s="170" t="s">
        <v>13</v>
      </c>
      <c r="B22" s="170"/>
      <c r="C22" s="10"/>
      <c r="D22" s="15"/>
      <c r="E22" s="15" t="s">
        <v>9</v>
      </c>
      <c r="F22" s="14"/>
    </row>
    <row r="23" spans="1:6">
      <c r="A23" s="170" t="s">
        <v>14</v>
      </c>
      <c r="B23" s="170"/>
      <c r="C23" s="10"/>
      <c r="D23" s="15"/>
      <c r="E23" s="15" t="s">
        <v>9</v>
      </c>
      <c r="F23" s="14"/>
    </row>
    <row r="24" spans="1:6">
      <c r="A24" s="170" t="s">
        <v>681</v>
      </c>
      <c r="B24" s="170"/>
      <c r="C24" s="10"/>
      <c r="D24" s="15"/>
      <c r="E24" s="15" t="s">
        <v>9</v>
      </c>
      <c r="F24" s="14"/>
    </row>
    <row r="25" spans="1:6">
      <c r="A25" s="170" t="s">
        <v>695</v>
      </c>
      <c r="B25" s="170"/>
      <c r="C25" s="10"/>
      <c r="D25" s="15"/>
      <c r="E25" s="15" t="s">
        <v>9</v>
      </c>
      <c r="F25" s="14"/>
    </row>
    <row r="26" spans="1:6">
      <c r="A26" s="170" t="s">
        <v>592</v>
      </c>
      <c r="B26" s="170"/>
      <c r="C26" s="10"/>
      <c r="D26" s="15"/>
      <c r="E26" s="15" t="s">
        <v>9</v>
      </c>
      <c r="F26" s="14"/>
    </row>
    <row r="27" spans="1:6">
      <c r="A27" s="170" t="s">
        <v>15</v>
      </c>
      <c r="B27" s="170"/>
      <c r="C27" s="10"/>
      <c r="D27" s="15"/>
      <c r="E27" s="15" t="s">
        <v>9</v>
      </c>
      <c r="F27" s="14"/>
    </row>
    <row r="28" spans="1:6">
      <c r="A28" s="170" t="s">
        <v>16</v>
      </c>
      <c r="B28" s="170"/>
      <c r="C28" s="10"/>
      <c r="D28" s="15"/>
      <c r="E28" s="15" t="s">
        <v>9</v>
      </c>
      <c r="F28" s="14"/>
    </row>
    <row r="29" spans="1:6">
      <c r="A29" s="170" t="s">
        <v>17</v>
      </c>
      <c r="B29" s="170"/>
      <c r="C29" s="10"/>
      <c r="D29" s="15"/>
      <c r="E29" s="15" t="s">
        <v>9</v>
      </c>
      <c r="F29" s="14"/>
    </row>
    <row r="30" spans="1:6">
      <c r="A30" s="170" t="s">
        <v>18</v>
      </c>
      <c r="B30" s="223"/>
      <c r="C30" s="10"/>
      <c r="D30" s="15"/>
      <c r="E30" s="15" t="s">
        <v>9</v>
      </c>
      <c r="F30" s="14"/>
    </row>
    <row r="31" spans="1:6">
      <c r="A31" s="170" t="s">
        <v>299</v>
      </c>
      <c r="B31" s="223"/>
      <c r="C31" s="10"/>
      <c r="D31" s="15"/>
      <c r="E31" s="15" t="s">
        <v>9</v>
      </c>
      <c r="F31" s="14"/>
    </row>
    <row r="32" spans="1:6">
      <c r="A32" s="170" t="s">
        <v>696</v>
      </c>
      <c r="B32" s="170"/>
      <c r="C32" s="10"/>
      <c r="D32" s="15"/>
      <c r="E32" s="15" t="s">
        <v>9</v>
      </c>
      <c r="F32" s="14"/>
    </row>
    <row r="33" spans="1:6">
      <c r="A33" s="170" t="s">
        <v>19</v>
      </c>
      <c r="B33" s="170"/>
      <c r="C33" s="10"/>
      <c r="D33" s="15"/>
      <c r="E33" s="15" t="s">
        <v>9</v>
      </c>
      <c r="F33" s="14"/>
    </row>
    <row r="34" spans="1:6">
      <c r="A34" s="324" t="s">
        <v>20</v>
      </c>
      <c r="B34" s="324"/>
      <c r="C34" s="10"/>
      <c r="D34" s="15"/>
      <c r="E34" s="15" t="s">
        <v>21</v>
      </c>
      <c r="F34" s="14"/>
    </row>
    <row r="35" spans="1:6">
      <c r="A35" s="324" t="s">
        <v>22</v>
      </c>
      <c r="B35" s="324"/>
      <c r="C35" s="11"/>
      <c r="D35" s="15"/>
      <c r="E35" s="15" t="s">
        <v>21</v>
      </c>
      <c r="F35" s="14"/>
    </row>
    <row r="36" spans="1:6">
      <c r="A36" s="324" t="s">
        <v>641</v>
      </c>
      <c r="B36" s="324"/>
      <c r="C36" s="11"/>
      <c r="D36" s="15"/>
      <c r="E36" s="15" t="s">
        <v>21</v>
      </c>
      <c r="F36" s="14"/>
    </row>
    <row r="37" spans="1:6">
      <c r="A37" s="324" t="s">
        <v>23</v>
      </c>
      <c r="B37" s="324"/>
      <c r="C37" s="11"/>
      <c r="D37" s="15"/>
      <c r="E37" s="15" t="s">
        <v>21</v>
      </c>
      <c r="F37" s="14"/>
    </row>
    <row r="38" spans="1:6">
      <c r="A38" s="324" t="s">
        <v>24</v>
      </c>
      <c r="B38" s="324"/>
      <c r="C38" s="7"/>
      <c r="D38" s="15"/>
      <c r="E38" s="15" t="s">
        <v>21</v>
      </c>
      <c r="F38" s="14"/>
    </row>
    <row r="39" spans="1:6">
      <c r="A39" s="324" t="s">
        <v>239</v>
      </c>
      <c r="B39" s="324"/>
      <c r="C39" s="7"/>
      <c r="D39" s="15"/>
      <c r="E39" s="15" t="s">
        <v>21</v>
      </c>
      <c r="F39" s="14"/>
    </row>
    <row r="40" spans="1:6" hidden="1">
      <c r="A40" s="324" t="s">
        <v>25</v>
      </c>
      <c r="B40" s="324"/>
      <c r="C40" s="11"/>
      <c r="D40" s="15"/>
      <c r="E40" s="15" t="s">
        <v>292</v>
      </c>
      <c r="F40" s="14"/>
    </row>
    <row r="41" spans="1:6" hidden="1">
      <c r="A41" s="170" t="s">
        <v>26</v>
      </c>
      <c r="B41" s="170"/>
      <c r="C41" s="12"/>
      <c r="D41" s="15"/>
      <c r="E41" s="15" t="s">
        <v>292</v>
      </c>
      <c r="F41" s="14"/>
    </row>
    <row r="42" spans="1:6" hidden="1">
      <c r="A42" s="170" t="s">
        <v>27</v>
      </c>
      <c r="B42" s="223"/>
      <c r="C42" s="7"/>
      <c r="D42" s="15"/>
      <c r="E42" s="15" t="s">
        <v>292</v>
      </c>
      <c r="F42" s="14"/>
    </row>
    <row r="43" spans="1:6" hidden="1">
      <c r="A43" s="170" t="s">
        <v>28</v>
      </c>
      <c r="B43" s="223"/>
      <c r="C43" s="7"/>
      <c r="D43" s="15"/>
      <c r="E43" s="15" t="s">
        <v>292</v>
      </c>
      <c r="F43" s="14"/>
    </row>
    <row r="44" spans="1:6" hidden="1">
      <c r="A44" s="170" t="s">
        <v>29</v>
      </c>
      <c r="B44" s="223"/>
      <c r="C44" s="7"/>
      <c r="D44" s="15"/>
      <c r="E44" s="15" t="s">
        <v>292</v>
      </c>
      <c r="F44" s="14"/>
    </row>
    <row r="45" spans="1:6" hidden="1">
      <c r="A45" s="170" t="s">
        <v>30</v>
      </c>
      <c r="B45" s="223"/>
      <c r="C45" s="7"/>
      <c r="D45" s="15"/>
      <c r="E45" s="15" t="s">
        <v>292</v>
      </c>
      <c r="F45" s="14"/>
    </row>
    <row r="46" spans="1:6">
      <c r="A46" s="324" t="s">
        <v>31</v>
      </c>
      <c r="B46" s="324"/>
      <c r="C46" s="7"/>
      <c r="D46" s="15"/>
      <c r="E46" s="15" t="s">
        <v>293</v>
      </c>
      <c r="F46" s="14"/>
    </row>
    <row r="47" spans="1:6">
      <c r="A47" s="170" t="s">
        <v>32</v>
      </c>
      <c r="B47" s="170"/>
      <c r="C47" s="11"/>
      <c r="D47" s="15"/>
      <c r="E47" s="15" t="s">
        <v>293</v>
      </c>
      <c r="F47" s="14"/>
    </row>
    <row r="48" spans="1:6">
      <c r="A48" s="170" t="s">
        <v>33</v>
      </c>
      <c r="B48" s="170"/>
      <c r="C48" s="7"/>
      <c r="D48" s="15"/>
      <c r="E48" s="15" t="s">
        <v>293</v>
      </c>
      <c r="F48" s="14"/>
    </row>
    <row r="49" spans="1:6">
      <c r="A49" s="170" t="s">
        <v>34</v>
      </c>
      <c r="B49" s="223"/>
      <c r="C49" s="7"/>
      <c r="D49" s="15"/>
      <c r="E49" s="15" t="s">
        <v>293</v>
      </c>
      <c r="F49" s="14"/>
    </row>
    <row r="50" spans="1:6">
      <c r="A50" s="170" t="s">
        <v>35</v>
      </c>
      <c r="B50" s="223"/>
      <c r="C50" s="7"/>
      <c r="D50" s="15"/>
      <c r="E50" s="15" t="s">
        <v>293</v>
      </c>
      <c r="F50" s="14"/>
    </row>
    <row r="51" spans="1:6">
      <c r="A51" s="170" t="s">
        <v>251</v>
      </c>
      <c r="B51" s="223"/>
      <c r="C51" s="7"/>
      <c r="D51" s="15"/>
      <c r="E51" s="15" t="s">
        <v>293</v>
      </c>
      <c r="F51" s="14"/>
    </row>
    <row r="52" spans="1:6">
      <c r="A52" s="170" t="s">
        <v>260</v>
      </c>
      <c r="B52" s="223"/>
      <c r="C52" s="7"/>
      <c r="D52" s="15"/>
      <c r="E52" s="15" t="s">
        <v>293</v>
      </c>
      <c r="F52" s="14"/>
    </row>
    <row r="53" spans="1:6">
      <c r="A53" s="170" t="s">
        <v>269</v>
      </c>
      <c r="B53" s="223"/>
      <c r="C53" s="7"/>
      <c r="D53" s="15"/>
      <c r="E53" s="15" t="s">
        <v>293</v>
      </c>
      <c r="F53" s="14"/>
    </row>
    <row r="54" spans="1:6">
      <c r="A54" s="324" t="s">
        <v>237</v>
      </c>
      <c r="B54" s="324"/>
      <c r="C54" s="7"/>
      <c r="D54" s="15"/>
      <c r="E54" s="15" t="s">
        <v>294</v>
      </c>
      <c r="F54" s="14"/>
    </row>
    <row r="55" spans="1:6">
      <c r="A55" s="170" t="s">
        <v>234</v>
      </c>
      <c r="B55" s="223"/>
      <c r="C55" s="7"/>
      <c r="D55" s="15"/>
      <c r="E55" s="15" t="s">
        <v>294</v>
      </c>
      <c r="F55" s="14"/>
    </row>
    <row r="56" spans="1:6">
      <c r="A56" s="170" t="s">
        <v>235</v>
      </c>
      <c r="B56" s="223"/>
      <c r="C56" s="7"/>
      <c r="D56" s="15"/>
      <c r="E56" s="15" t="s">
        <v>294</v>
      </c>
      <c r="F56" s="14"/>
    </row>
    <row r="57" spans="1:6" hidden="1">
      <c r="A57" s="324" t="s">
        <v>156</v>
      </c>
      <c r="B57" s="324"/>
      <c r="C57" s="7"/>
      <c r="D57" s="15"/>
      <c r="E57" s="15" t="s">
        <v>295</v>
      </c>
      <c r="F57" s="14"/>
    </row>
    <row r="58" spans="1:6" hidden="1">
      <c r="A58" s="170" t="s">
        <v>36</v>
      </c>
      <c r="B58" s="7"/>
      <c r="C58" s="7"/>
      <c r="D58" s="15"/>
      <c r="E58" s="15" t="s">
        <v>295</v>
      </c>
      <c r="F58" s="14"/>
    </row>
    <row r="59" spans="1:6" hidden="1">
      <c r="A59" s="170" t="s">
        <v>37</v>
      </c>
      <c r="B59" s="7"/>
      <c r="C59" s="7"/>
      <c r="D59" s="15"/>
      <c r="E59" s="15" t="s">
        <v>295</v>
      </c>
      <c r="F59" s="14"/>
    </row>
    <row r="60" spans="1:6">
      <c r="A60" s="324" t="s">
        <v>522</v>
      </c>
      <c r="B60" s="324"/>
      <c r="C60" s="7"/>
      <c r="D60" s="15"/>
      <c r="E60" s="15" t="s">
        <v>637</v>
      </c>
      <c r="F60" s="14"/>
    </row>
    <row r="61" spans="1:6">
      <c r="A61" s="170" t="s">
        <v>181</v>
      </c>
      <c r="B61" s="7"/>
      <c r="C61" s="7"/>
      <c r="D61" s="15"/>
      <c r="E61" s="15" t="s">
        <v>637</v>
      </c>
      <c r="F61" s="14"/>
    </row>
    <row r="62" spans="1:6">
      <c r="A62" s="170" t="s">
        <v>37</v>
      </c>
      <c r="B62" s="7"/>
      <c r="C62" s="7"/>
      <c r="D62" s="15"/>
      <c r="E62" s="15" t="s">
        <v>637</v>
      </c>
      <c r="F62" s="14"/>
    </row>
    <row r="63" spans="1:6">
      <c r="A63" s="170" t="s">
        <v>604</v>
      </c>
      <c r="B63" s="7"/>
      <c r="C63" s="7"/>
      <c r="D63" s="15"/>
      <c r="E63" s="15" t="s">
        <v>637</v>
      </c>
      <c r="F63" s="14"/>
    </row>
    <row r="64" spans="1:6">
      <c r="A64" s="324" t="s">
        <v>196</v>
      </c>
      <c r="B64" s="324"/>
      <c r="C64" s="1"/>
      <c r="D64" s="15"/>
      <c r="E64" s="15" t="s">
        <v>296</v>
      </c>
      <c r="F64" s="14"/>
    </row>
    <row r="65" spans="1:6">
      <c r="A65" s="170" t="s">
        <v>38</v>
      </c>
      <c r="B65" s="7"/>
      <c r="C65" s="7"/>
      <c r="D65" s="15"/>
      <c r="E65" s="15" t="s">
        <v>296</v>
      </c>
      <c r="F65" s="14"/>
    </row>
    <row r="66" spans="1:6">
      <c r="A66" s="170" t="s">
        <v>39</v>
      </c>
      <c r="B66" s="7"/>
      <c r="C66" s="7"/>
      <c r="D66" s="6"/>
      <c r="E66" s="15" t="s">
        <v>296</v>
      </c>
      <c r="F66" s="14"/>
    </row>
    <row r="67" spans="1:6">
      <c r="A67" s="170" t="s">
        <v>194</v>
      </c>
      <c r="B67" s="7"/>
      <c r="C67" s="7"/>
      <c r="D67" s="6"/>
      <c r="E67" s="15" t="s">
        <v>194</v>
      </c>
      <c r="F67" s="14"/>
    </row>
    <row r="68" spans="1:6">
      <c r="A68" s="170" t="s">
        <v>40</v>
      </c>
      <c r="B68" s="1"/>
      <c r="C68" s="1"/>
      <c r="D68" s="15"/>
      <c r="E68" s="15" t="s">
        <v>41</v>
      </c>
      <c r="F68" s="14"/>
    </row>
    <row r="69" spans="1:6">
      <c r="A69" s="1"/>
      <c r="B69" s="1"/>
      <c r="C69" s="1"/>
      <c r="D69" s="13"/>
      <c r="E69" s="13"/>
      <c r="F69" s="14"/>
    </row>
    <row r="70" spans="1:6">
      <c r="A70" s="6" t="s">
        <v>188</v>
      </c>
      <c r="B70" s="6"/>
      <c r="C70" s="6"/>
      <c r="D70" s="129"/>
      <c r="E70" s="6" t="s">
        <v>189</v>
      </c>
      <c r="F70" s="14"/>
    </row>
    <row r="71" spans="1:6">
      <c r="A71" s="14"/>
      <c r="B71" s="14"/>
      <c r="C71" s="14"/>
      <c r="D71" s="14"/>
      <c r="E71" s="14"/>
      <c r="F71" s="14"/>
    </row>
    <row r="72" spans="1:6">
      <c r="A72" s="14"/>
      <c r="B72" s="14"/>
      <c r="C72" s="14"/>
      <c r="D72" s="14"/>
      <c r="E72" s="14"/>
      <c r="F72" s="14"/>
    </row>
  </sheetData>
  <mergeCells count="18">
    <mergeCell ref="A54:B54"/>
    <mergeCell ref="A57:B57"/>
    <mergeCell ref="A64:B64"/>
    <mergeCell ref="A35:B35"/>
    <mergeCell ref="A37:B37"/>
    <mergeCell ref="A46:B46"/>
    <mergeCell ref="A60:B60"/>
    <mergeCell ref="A34:B34"/>
    <mergeCell ref="A38:B38"/>
    <mergeCell ref="A39:B39"/>
    <mergeCell ref="A40:B40"/>
    <mergeCell ref="A14:B14"/>
    <mergeCell ref="A36:B36"/>
    <mergeCell ref="A7:B7"/>
    <mergeCell ref="A4:E4"/>
    <mergeCell ref="A13:B13"/>
    <mergeCell ref="A12:C12"/>
    <mergeCell ref="A6:B6"/>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BV31"/>
  <sheetViews>
    <sheetView zoomScaleNormal="100" workbookViewId="0">
      <pane ySplit="2" topLeftCell="A3" activePane="bottomLeft" state="frozen"/>
      <selection pane="bottomLeft" activeCell="B4" sqref="B4"/>
    </sheetView>
  </sheetViews>
  <sheetFormatPr defaultColWidth="9.140625" defaultRowHeight="15" outlineLevelCol="1"/>
  <cols>
    <col min="1" max="1" width="53" style="18" customWidth="1"/>
    <col min="2" max="13" width="14.28515625" style="18" customWidth="1"/>
    <col min="14" max="21" width="14.28515625" style="18" customWidth="1" outlineLevel="1"/>
    <col min="22" max="22" width="12.140625" style="18" customWidth="1" outlineLevel="1"/>
    <col min="23" max="25" width="12.28515625" style="18" customWidth="1" outlineLevel="1"/>
    <col min="26" max="32" width="12" style="18" customWidth="1" outlineLevel="1"/>
    <col min="33" max="33" width="12.85546875" style="18" customWidth="1" outlineLevel="1"/>
    <col min="34" max="34" width="12.140625" style="18" customWidth="1" outlineLevel="1"/>
    <col min="35" max="35" width="12.7109375" style="18" customWidth="1" outlineLevel="1"/>
    <col min="36" max="36" width="12" style="18" customWidth="1" outlineLevel="1"/>
    <col min="37" max="37" width="13" style="18" customWidth="1" outlineLevel="1"/>
    <col min="38" max="38" width="6.85546875" style="18" customWidth="1"/>
    <col min="39" max="50" width="10.85546875" style="18" customWidth="1"/>
    <col min="51" max="68" width="10.85546875" style="18" customWidth="1" outlineLevel="1"/>
    <col min="69" max="73" width="9.140625" style="18" customWidth="1" outlineLevel="1"/>
    <col min="74" max="16384" width="9.140625" style="18"/>
  </cols>
  <sheetData>
    <row r="1" spans="1:74">
      <c r="A1" s="132" t="s">
        <v>523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3"/>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row>
    <row r="2" spans="1:74">
      <c r="A2" s="134" t="s">
        <v>43</v>
      </c>
      <c r="B2" s="115" t="s">
        <v>597</v>
      </c>
      <c r="C2" s="115" t="s">
        <v>558</v>
      </c>
      <c r="D2" s="115" t="s">
        <v>527</v>
      </c>
      <c r="E2" s="115" t="s">
        <v>516</v>
      </c>
      <c r="F2" s="115" t="s">
        <v>504</v>
      </c>
      <c r="G2" s="115" t="s">
        <v>421</v>
      </c>
      <c r="H2" s="115" t="s">
        <v>403</v>
      </c>
      <c r="I2" s="115" t="s">
        <v>389</v>
      </c>
      <c r="J2" s="115" t="s">
        <v>381</v>
      </c>
      <c r="K2" s="115" t="s">
        <v>376</v>
      </c>
      <c r="L2" s="115" t="s">
        <v>373</v>
      </c>
      <c r="M2" s="115" t="s">
        <v>371</v>
      </c>
      <c r="N2" s="115" t="s">
        <v>367</v>
      </c>
      <c r="O2" s="115" t="s">
        <v>366</v>
      </c>
      <c r="P2" s="115" t="s">
        <v>364</v>
      </c>
      <c r="Q2" s="115" t="s">
        <v>362</v>
      </c>
      <c r="R2" s="115" t="s">
        <v>357</v>
      </c>
      <c r="S2" s="115" t="s">
        <v>355</v>
      </c>
      <c r="T2" s="115" t="s">
        <v>352</v>
      </c>
      <c r="U2" s="115" t="s">
        <v>346</v>
      </c>
      <c r="V2" s="115" t="s">
        <v>340</v>
      </c>
      <c r="W2" s="115" t="s">
        <v>325</v>
      </c>
      <c r="X2" s="115" t="s">
        <v>324</v>
      </c>
      <c r="Y2" s="115" t="s">
        <v>310</v>
      </c>
      <c r="Z2" s="115" t="s">
        <v>309</v>
      </c>
      <c r="AA2" s="115" t="s">
        <v>306</v>
      </c>
      <c r="AB2" s="115" t="s">
        <v>297</v>
      </c>
      <c r="AC2" s="115" t="s">
        <v>250</v>
      </c>
      <c r="AD2" s="115" t="s">
        <v>247</v>
      </c>
      <c r="AE2" s="115" t="s">
        <v>222</v>
      </c>
      <c r="AF2" s="115" t="s">
        <v>206</v>
      </c>
      <c r="AG2" s="115" t="s">
        <v>207</v>
      </c>
      <c r="AH2" s="115" t="s">
        <v>208</v>
      </c>
      <c r="AI2" s="115" t="s">
        <v>209</v>
      </c>
      <c r="AJ2" s="115" t="s">
        <v>210</v>
      </c>
      <c r="AK2" s="115" t="s">
        <v>211</v>
      </c>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row>
    <row r="3" spans="1:74">
      <c r="A3" s="135" t="s">
        <v>181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6"/>
      <c r="AI3" s="136"/>
      <c r="AJ3" s="136"/>
      <c r="AK3" s="136"/>
      <c r="AL3" s="168"/>
      <c r="AM3" s="332" t="s">
        <v>175</v>
      </c>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168"/>
    </row>
    <row r="4" spans="1:74">
      <c r="A4" s="285" t="s">
        <v>464</v>
      </c>
      <c r="B4" s="255">
        <f>826.115+48.158+1.618+3.796-1.243</f>
        <v>878.44400000000007</v>
      </c>
      <c r="C4" s="233">
        <f>826.115+48.158+1.618+3.796-1.243</f>
        <v>878.44400000000007</v>
      </c>
      <c r="D4" s="233">
        <v>878.44400000000007</v>
      </c>
      <c r="E4" s="233">
        <v>878.44400000000007</v>
      </c>
      <c r="F4" s="233">
        <v>1116.0239999999999</v>
      </c>
      <c r="G4" s="233">
        <v>1116.0239999999999</v>
      </c>
      <c r="H4" s="233">
        <v>1116.0239999999999</v>
      </c>
      <c r="I4" s="233">
        <f>1041.032+76.235-1.243</f>
        <v>1116.0239999999999</v>
      </c>
      <c r="J4" s="233">
        <f>1111.604+86.826+1.477+15.09</f>
        <v>1214.9970000000001</v>
      </c>
      <c r="K4" s="233">
        <f>1111.604+86.826+1.477+15.09</f>
        <v>1214.9970000000001</v>
      </c>
      <c r="L4" s="233">
        <f>1111.604+86.826+1.477+15.09</f>
        <v>1214.9970000000001</v>
      </c>
      <c r="M4" s="233">
        <f>1111.604+86.826+1.477+15.09</f>
        <v>1214.9970000000001</v>
      </c>
      <c r="N4" s="233">
        <f>1349.609+105.644+1.477+15.775</f>
        <v>1472.5050000000001</v>
      </c>
      <c r="O4" s="233">
        <f>1349.609+105.644+1.477+15.775</f>
        <v>1472.5050000000001</v>
      </c>
      <c r="P4" s="233">
        <f>1349.609+105.644+1.477+15.775</f>
        <v>1472.5050000000001</v>
      </c>
      <c r="Q4" s="233">
        <f>1349.609+105.644+1.477</f>
        <v>1456.73</v>
      </c>
      <c r="R4" s="233">
        <f>1377.453+110.823+1.477</f>
        <v>1489.7530000000002</v>
      </c>
      <c r="S4" s="233">
        <f>1377.453+110.823+1.477</f>
        <v>1489.7530000000002</v>
      </c>
      <c r="T4" s="233">
        <f>1377.453+110.823+1.477</f>
        <v>1489.7530000000002</v>
      </c>
      <c r="U4" s="233">
        <f>1377.453+110.823+1.477</f>
        <v>1489.7530000000002</v>
      </c>
      <c r="V4" s="233">
        <f>1692.309-88.022</f>
        <v>1604.287</v>
      </c>
      <c r="W4" s="233">
        <f>1692.309-88.022</f>
        <v>1604.287</v>
      </c>
      <c r="X4" s="233">
        <f>1692.309-88.022</f>
        <v>1604.287</v>
      </c>
      <c r="Y4" s="233">
        <f>1692.309-88.022-0.001</f>
        <v>1604.2860000000001</v>
      </c>
      <c r="Z4" s="233">
        <v>1641.422</v>
      </c>
      <c r="AA4" s="233">
        <v>1641.422</v>
      </c>
      <c r="AB4" s="233">
        <v>1641.422</v>
      </c>
      <c r="AC4" s="233">
        <v>1641.422</v>
      </c>
      <c r="AD4" s="141">
        <v>1427.2729999999999</v>
      </c>
      <c r="AE4" s="141">
        <v>1427.2729999999999</v>
      </c>
      <c r="AF4" s="141">
        <v>1427.2729999999999</v>
      </c>
      <c r="AG4" s="141">
        <v>1427.2739999999999</v>
      </c>
      <c r="AH4" s="141">
        <v>542.35799999999995</v>
      </c>
      <c r="AI4" s="141">
        <v>542.35799999999995</v>
      </c>
      <c r="AJ4" s="141">
        <v>542.35799999999995</v>
      </c>
      <c r="AK4" s="169">
        <v>542.35799999999995</v>
      </c>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row>
    <row r="5" spans="1:74">
      <c r="A5" s="285" t="s">
        <v>157</v>
      </c>
      <c r="B5" s="255">
        <f>ROUND(('[1]A80105 and A80120'!$D$119+'[1]A80105 and A80120'!$E$119)/1000,3)</f>
        <v>7.7869999999999999</v>
      </c>
      <c r="C5" s="233">
        <v>27.582000000000001</v>
      </c>
      <c r="D5" s="233">
        <v>14.386999999999999</v>
      </c>
      <c r="E5" s="233">
        <v>4.8470000000000004</v>
      </c>
      <c r="F5" s="233">
        <v>21.719000000000001</v>
      </c>
      <c r="G5" s="233">
        <v>18.437000000000001</v>
      </c>
      <c r="H5" s="233">
        <v>6.6139999999999999</v>
      </c>
      <c r="I5" s="233">
        <v>2.0409999999999999</v>
      </c>
      <c r="J5" s="233">
        <v>86.150999999999996</v>
      </c>
      <c r="K5" s="233">
        <v>84.06</v>
      </c>
      <c r="L5" s="233">
        <v>26.169</v>
      </c>
      <c r="M5" s="233">
        <f>5.185+3.037</f>
        <v>8.2219999999999995</v>
      </c>
      <c r="N5" s="233">
        <f>33.227+0.182+1.046</f>
        <v>34.454999999999998</v>
      </c>
      <c r="O5" s="233">
        <f>28.644+0.172</f>
        <v>28.815999999999999</v>
      </c>
      <c r="P5" s="233">
        <f>21.257</f>
        <v>21.257000000000001</v>
      </c>
      <c r="Q5" s="233">
        <f>11.404</f>
        <v>11.404</v>
      </c>
      <c r="R5" s="233">
        <f>123.558+21.805</f>
        <v>145.363</v>
      </c>
      <c r="S5" s="233">
        <f>71.845+2.563</f>
        <v>74.408000000000001</v>
      </c>
      <c r="T5" s="233">
        <f>27.73+2.459</f>
        <v>30.189</v>
      </c>
      <c r="U5" s="233">
        <f>12.234+0.017</f>
        <v>12.250999999999999</v>
      </c>
      <c r="V5" s="233">
        <f>176.689+19.964</f>
        <v>196.65299999999999</v>
      </c>
      <c r="W5" s="233">
        <f>139.661+19.645</f>
        <v>159.30600000000001</v>
      </c>
      <c r="X5" s="233">
        <f>102.31+23.744-0.001</f>
        <v>126.053</v>
      </c>
      <c r="Y5" s="233">
        <v>45.381</v>
      </c>
      <c r="Z5" s="233">
        <v>427.82799999999997</v>
      </c>
      <c r="AA5" s="233">
        <v>311.15699999999998</v>
      </c>
      <c r="AB5" s="233">
        <v>220.33600000000001</v>
      </c>
      <c r="AC5" s="233">
        <v>133.577</v>
      </c>
      <c r="AD5" s="141">
        <v>519.65700000000004</v>
      </c>
      <c r="AE5" s="141">
        <v>355.71499999999997</v>
      </c>
      <c r="AF5" s="141">
        <v>229.24700000000001</v>
      </c>
      <c r="AG5" s="141">
        <v>127.857</v>
      </c>
      <c r="AH5" s="141">
        <v>1085.75</v>
      </c>
      <c r="AI5" s="141">
        <v>893.94500000000005</v>
      </c>
      <c r="AJ5" s="141">
        <v>690.49199999999996</v>
      </c>
      <c r="AK5" s="169">
        <v>285.447</v>
      </c>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row>
    <row r="6" spans="1:74">
      <c r="A6" s="285" t="s">
        <v>465</v>
      </c>
      <c r="B6" s="255">
        <f>ROUND('[1]A80105 and A80120'!$F$119/1000,3)+0.177</f>
        <v>-210.691</v>
      </c>
      <c r="C6" s="233">
        <v>-82.311000000000007</v>
      </c>
      <c r="D6" s="233">
        <v>-56.744999999999997</v>
      </c>
      <c r="E6" s="233">
        <v>-17.292000000000002</v>
      </c>
      <c r="F6" s="233">
        <v>-194.392</v>
      </c>
      <c r="G6" s="233">
        <v>-100.562</v>
      </c>
      <c r="H6" s="233">
        <v>-70.631</v>
      </c>
      <c r="I6" s="233">
        <v>-40.576000000000001</v>
      </c>
      <c r="J6" s="233">
        <v>-162.267</v>
      </c>
      <c r="K6" s="233">
        <v>-124.738</v>
      </c>
      <c r="L6" s="233">
        <v>-87.262</v>
      </c>
      <c r="M6" s="233">
        <f>-44.014</f>
        <v>-44.014000000000003</v>
      </c>
      <c r="N6" s="233">
        <f>-123.52-10.1-5.506</f>
        <v>-139.126</v>
      </c>
      <c r="O6" s="233">
        <f>-96.002-4.88-5.506</f>
        <v>-106.38799999999999</v>
      </c>
      <c r="P6" s="233">
        <f>-76.009</f>
        <v>-76.009</v>
      </c>
      <c r="Q6" s="233">
        <f>-24.315</f>
        <v>-24.315000000000001</v>
      </c>
      <c r="R6" s="233">
        <f>-79.862</f>
        <v>-79.861999999999995</v>
      </c>
      <c r="S6" s="233">
        <f>-44.244-3.33</f>
        <v>-47.573999999999998</v>
      </c>
      <c r="T6" s="233">
        <f>-21.904-1.677</f>
        <v>-23.581</v>
      </c>
      <c r="U6" s="233">
        <f>-13.017-0.904</f>
        <v>-13.920999999999999</v>
      </c>
      <c r="V6" s="233">
        <f>-193.526-13.129</f>
        <v>-206.655</v>
      </c>
      <c r="W6" s="233">
        <f>-148.571-9.932</f>
        <v>-158.50299999999999</v>
      </c>
      <c r="X6" s="233">
        <f>-80.725-10.845+0.001</f>
        <v>-91.568999999999988</v>
      </c>
      <c r="Y6" s="233">
        <v>-30.413</v>
      </c>
      <c r="Z6" s="233">
        <v>-196.357</v>
      </c>
      <c r="AA6" s="233">
        <v>-153.24700000000001</v>
      </c>
      <c r="AB6" s="233">
        <v>-125.539</v>
      </c>
      <c r="AC6" s="233">
        <v>-54.716000000000001</v>
      </c>
      <c r="AD6" s="141">
        <v>-257.66199999999998</v>
      </c>
      <c r="AE6" s="141">
        <v>-204.06</v>
      </c>
      <c r="AF6" s="141">
        <v>-139.803</v>
      </c>
      <c r="AG6" s="141">
        <v>-110.221</v>
      </c>
      <c r="AH6" s="141">
        <v>-165.739</v>
      </c>
      <c r="AI6" s="141">
        <v>-110.072</v>
      </c>
      <c r="AJ6" s="141">
        <v>-94.7</v>
      </c>
      <c r="AK6" s="169">
        <v>-48.665999999999997</v>
      </c>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row>
    <row r="7" spans="1:74">
      <c r="A7" s="285" t="s">
        <v>466</v>
      </c>
      <c r="B7" s="255">
        <f>ROUND('[1]A80105 and A80120'!$G$119/1000,3)</f>
        <v>-0.77400000000000002</v>
      </c>
      <c r="C7" s="233">
        <v>0</v>
      </c>
      <c r="D7" s="233">
        <v>0</v>
      </c>
      <c r="E7" s="233">
        <v>0</v>
      </c>
      <c r="F7" s="233">
        <v>-17.827000000000002</v>
      </c>
      <c r="G7" s="233">
        <v>-18.562999999999999</v>
      </c>
      <c r="H7" s="233">
        <v>-18.562999999999999</v>
      </c>
      <c r="I7" s="233">
        <v>-18.562999999999999</v>
      </c>
      <c r="J7" s="233">
        <v>-0.20899999999999999</v>
      </c>
      <c r="K7" s="233">
        <v>-0.20799999999999999</v>
      </c>
      <c r="L7" s="233">
        <v>0</v>
      </c>
      <c r="M7" s="233">
        <v>0</v>
      </c>
      <c r="N7" s="233">
        <f>-5.506-103.069+5.506</f>
        <v>-103.069</v>
      </c>
      <c r="O7" s="233">
        <f>-5.506-100.975+5.506</f>
        <v>-100.97499999999999</v>
      </c>
      <c r="P7" s="233">
        <f>-5.506</f>
        <v>-5.5060000000000002</v>
      </c>
      <c r="Q7" s="233">
        <f>-3.38-1.696</f>
        <v>-5.0759999999999996</v>
      </c>
      <c r="R7" s="233">
        <f>-57.525-1.248</f>
        <v>-58.772999999999996</v>
      </c>
      <c r="S7" s="233">
        <f>-11.321</f>
        <v>-11.321</v>
      </c>
      <c r="T7" s="233">
        <f>-10.651</f>
        <v>-10.651</v>
      </c>
      <c r="U7" s="233">
        <v>0</v>
      </c>
      <c r="V7" s="233">
        <f>-7.015-0.507+1.514</f>
        <v>-6.0079999999999991</v>
      </c>
      <c r="W7" s="233">
        <f>-5.456-0.553</f>
        <v>-6.0090000000000003</v>
      </c>
      <c r="X7" s="233">
        <f>-3.816-2.427</f>
        <v>-6.2430000000000003</v>
      </c>
      <c r="Y7" s="233"/>
      <c r="Z7" s="233">
        <v>-166.572</v>
      </c>
      <c r="AA7" s="233">
        <v>-166.572</v>
      </c>
      <c r="AB7" s="233">
        <v>-166.572</v>
      </c>
      <c r="AC7" s="233">
        <v>-166.572</v>
      </c>
      <c r="AD7" s="141"/>
      <c r="AE7" s="141"/>
      <c r="AF7" s="141"/>
      <c r="AG7" s="141"/>
      <c r="AH7" s="141"/>
      <c r="AI7" s="141"/>
      <c r="AJ7" s="141"/>
      <c r="AK7" s="169"/>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row>
    <row r="8" spans="1:74">
      <c r="A8" s="285" t="s">
        <v>467</v>
      </c>
      <c r="B8" s="255">
        <f>ROUND('[1]A80105 and A80120'!$I$119/1000,3)+0.454</f>
        <v>-14.978</v>
      </c>
      <c r="C8" s="233">
        <v>-41.058999999999997</v>
      </c>
      <c r="D8" s="233">
        <v>-26.158000000000001</v>
      </c>
      <c r="E8" s="233">
        <v>-9.8079999999999998</v>
      </c>
      <c r="F8" s="233">
        <v>-47.08</v>
      </c>
      <c r="G8" s="233">
        <v>-31.956999999999997</v>
      </c>
      <c r="H8" s="233">
        <v>-23.381</v>
      </c>
      <c r="I8" s="233">
        <v>-8.4480000000000004</v>
      </c>
      <c r="J8" s="233">
        <v>-22.648</v>
      </c>
      <c r="K8" s="233">
        <v>-13.349</v>
      </c>
      <c r="L8" s="233">
        <v>-8.2469999999999999</v>
      </c>
      <c r="M8" s="233">
        <f>-4.719</f>
        <v>-4.7190000000000003</v>
      </c>
      <c r="N8" s="233">
        <f>-49.689-0.08+0.001</f>
        <v>-49.768000000000001</v>
      </c>
      <c r="O8" s="233">
        <f>-30.371+0.908-0.093</f>
        <v>-29.555999999999997</v>
      </c>
      <c r="P8" s="233">
        <f>-8.747+0.61-0.078</f>
        <v>-8.2149999999999999</v>
      </c>
      <c r="Q8" s="233">
        <f>-5.956+0.391-0.08</f>
        <v>-5.6450000000000005</v>
      </c>
      <c r="R8" s="233">
        <f>-39.789+0.259-0.147-0.074</f>
        <v>-39.750999999999998</v>
      </c>
      <c r="S8" s="233">
        <f>-35.684-2.461+0.155-0.158</f>
        <v>-38.147999999999996</v>
      </c>
      <c r="T8" s="233">
        <f>-28.591-1.594+0.197+0.08-0.108</f>
        <v>-30.016000000000005</v>
      </c>
      <c r="U8" s="233">
        <f>-3.81-0.129+0.08+0.082-0.084</f>
        <v>-3.8610000000000002</v>
      </c>
      <c r="V8" s="233">
        <f>-25.294+0.963-0.257-73.899-0.037</f>
        <v>-98.524000000000001</v>
      </c>
      <c r="W8" s="233">
        <f>-12.993-0.208-73.899+1.005+0.002+0.009</f>
        <v>-86.084000000000003</v>
      </c>
      <c r="X8" s="233">
        <f>-11.361-73.899+1-0.001</f>
        <v>-84.26100000000001</v>
      </c>
      <c r="Y8" s="233">
        <f>-3.345+98.414-73.899+0.001</f>
        <v>21.171000000000003</v>
      </c>
      <c r="Z8" s="233">
        <f>-14.013-88.022+0.001</f>
        <v>-102.03400000000001</v>
      </c>
      <c r="AA8" s="233">
        <f>2.953-17.191-0.013+0.001</f>
        <v>-14.25</v>
      </c>
      <c r="AB8" s="233">
        <v>-7.17</v>
      </c>
      <c r="AC8" s="233">
        <v>-2.0390000000000001</v>
      </c>
      <c r="AD8" s="141">
        <v>-47.845999999999997</v>
      </c>
      <c r="AE8" s="141">
        <v>-30.664000000000001</v>
      </c>
      <c r="AF8" s="141">
        <v>-14.986000000000001</v>
      </c>
      <c r="AG8" s="141">
        <v>-9.4390000000000001</v>
      </c>
      <c r="AH8" s="141">
        <v>-35.097000000000001</v>
      </c>
      <c r="AI8" s="141">
        <v>-21.603000000000002</v>
      </c>
      <c r="AJ8" s="141">
        <v>-9.3569999999999993</v>
      </c>
      <c r="AK8" s="169">
        <v>-7.0289999999999999</v>
      </c>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row>
    <row r="9" spans="1:74" ht="15.75" thickBot="1">
      <c r="A9" s="138" t="s">
        <v>471</v>
      </c>
      <c r="B9" s="256">
        <f>648.757+26.866+1.27-1.03</f>
        <v>675.86299999999994</v>
      </c>
      <c r="C9" s="234">
        <f>742.084+40.215+1.423-1.066</f>
        <v>782.65599999999995</v>
      </c>
      <c r="D9" s="234">
        <v>809.928</v>
      </c>
      <c r="E9" s="234">
        <v>856.19099999999992</v>
      </c>
      <c r="F9" s="234">
        <v>878.44400000000007</v>
      </c>
      <c r="G9" s="234">
        <v>983.37899999999991</v>
      </c>
      <c r="H9" s="234">
        <v>1010.0630000000001</v>
      </c>
      <c r="I9" s="234">
        <f>977.525+66.527+7.669-1.243</f>
        <v>1050.4780000000001</v>
      </c>
      <c r="J9" s="234">
        <f>1041.032+76.235-1.243</f>
        <v>1116.0239999999999</v>
      </c>
      <c r="K9" s="234">
        <f>1082.661+79.287-1.186</f>
        <v>1160.7620000000002</v>
      </c>
      <c r="L9" s="234">
        <f>1054.034+92.809-1.186</f>
        <v>1145.6570000000002</v>
      </c>
      <c r="M9" s="234">
        <f>1083.314+82.095+1.477+7.6</f>
        <v>1174.4860000000001</v>
      </c>
      <c r="N9" s="234">
        <f>1111.604+86.826+1.477+15.09</f>
        <v>1214.9970000000001</v>
      </c>
      <c r="O9" s="234">
        <f>1154.301+92.849+1.477+15.775</f>
        <v>1264.402</v>
      </c>
      <c r="P9" s="234">
        <f>1284.82+101.96+1.477+15.775</f>
        <v>1404.0320000000002</v>
      </c>
      <c r="Q9" s="234">
        <f>1328.028+103.593+1.477</f>
        <v>1433.0980000000002</v>
      </c>
      <c r="R9" s="234">
        <f>1349.609+105.644+1.477</f>
        <v>1456.73</v>
      </c>
      <c r="S9" s="234">
        <f>1358.046+107.595+1.477</f>
        <v>1467.1180000000002</v>
      </c>
      <c r="T9" s="234">
        <f>1344.126+110.091+1.477</f>
        <v>1455.694</v>
      </c>
      <c r="U9" s="234">
        <f>1372.858+111.364</f>
        <v>1484.222</v>
      </c>
      <c r="V9" s="234">
        <f>1377.453+110.823+1.477</f>
        <v>1489.7530000000002</v>
      </c>
      <c r="W9" s="234">
        <f>1399.288+113.709</f>
        <v>1512.9970000000001</v>
      </c>
      <c r="X9" s="234">
        <f>1547.267+1</f>
        <v>1548.2670000000001</v>
      </c>
      <c r="Y9" s="234">
        <f>1542.011+98.414</f>
        <v>1640.425</v>
      </c>
      <c r="Z9" s="234">
        <f>1692.309-88.022</f>
        <v>1604.287</v>
      </c>
      <c r="AA9" s="234">
        <f>1558.494+60.016</f>
        <v>1618.51</v>
      </c>
      <c r="AB9" s="234">
        <v>1562.4770000000001</v>
      </c>
      <c r="AC9" s="234">
        <v>1551.672</v>
      </c>
      <c r="AD9" s="142">
        <v>1641.422</v>
      </c>
      <c r="AE9" s="142">
        <v>1548.2639999999999</v>
      </c>
      <c r="AF9" s="142">
        <v>1501.731</v>
      </c>
      <c r="AG9" s="142">
        <v>1435.471</v>
      </c>
      <c r="AH9" s="142">
        <v>1427.2719999999999</v>
      </c>
      <c r="AI9" s="142">
        <v>1304.6279999999999</v>
      </c>
      <c r="AJ9" s="142">
        <v>1128.7929999999999</v>
      </c>
      <c r="AK9" s="97">
        <v>772.11</v>
      </c>
      <c r="AL9" s="168"/>
      <c r="AM9" s="219">
        <f t="shared" ref="AM9:BM9" si="0">SUM(B4:B8)-B9</f>
        <v>-16.074999999999818</v>
      </c>
      <c r="AN9" s="219">
        <f t="shared" si="0"/>
        <v>0</v>
      </c>
      <c r="AO9" s="219">
        <f t="shared" si="0"/>
        <v>0</v>
      </c>
      <c r="AP9" s="219">
        <f t="shared" si="0"/>
        <v>0</v>
      </c>
      <c r="AQ9" s="219">
        <f t="shared" si="0"/>
        <v>0</v>
      </c>
      <c r="AR9" s="219">
        <f t="shared" si="0"/>
        <v>0</v>
      </c>
      <c r="AS9" s="219">
        <f t="shared" si="0"/>
        <v>0</v>
      </c>
      <c r="AT9" s="219">
        <f t="shared" si="0"/>
        <v>0</v>
      </c>
      <c r="AU9" s="219">
        <f t="shared" si="0"/>
        <v>0</v>
      </c>
      <c r="AV9" s="219">
        <f t="shared" si="0"/>
        <v>0</v>
      </c>
      <c r="AW9" s="219">
        <f t="shared" si="0"/>
        <v>0</v>
      </c>
      <c r="AX9" s="219">
        <f t="shared" si="0"/>
        <v>0</v>
      </c>
      <c r="AY9" s="219">
        <f t="shared" si="0"/>
        <v>0</v>
      </c>
      <c r="AZ9" s="219">
        <f t="shared" si="0"/>
        <v>0</v>
      </c>
      <c r="BA9" s="219">
        <f t="shared" si="0"/>
        <v>0</v>
      </c>
      <c r="BB9" s="219">
        <f t="shared" si="0"/>
        <v>0</v>
      </c>
      <c r="BC9" s="219">
        <f t="shared" si="0"/>
        <v>0</v>
      </c>
      <c r="BD9" s="219">
        <f t="shared" si="0"/>
        <v>0</v>
      </c>
      <c r="BE9" s="219">
        <f t="shared" si="0"/>
        <v>0</v>
      </c>
      <c r="BF9" s="219">
        <f t="shared" si="0"/>
        <v>0</v>
      </c>
      <c r="BG9" s="219">
        <f t="shared" si="0"/>
        <v>0</v>
      </c>
      <c r="BH9" s="219">
        <f t="shared" si="0"/>
        <v>0</v>
      </c>
      <c r="BI9" s="219">
        <f t="shared" si="0"/>
        <v>0</v>
      </c>
      <c r="BJ9" s="219">
        <f t="shared" si="0"/>
        <v>0</v>
      </c>
      <c r="BK9" s="263">
        <f t="shared" si="0"/>
        <v>0</v>
      </c>
      <c r="BL9" s="31">
        <f t="shared" si="0"/>
        <v>0</v>
      </c>
      <c r="BM9" s="31">
        <f t="shared" si="0"/>
        <v>0</v>
      </c>
      <c r="BN9" s="31">
        <f t="shared" ref="BN9:BU9" si="1">SUM(AD4:AD8)-AD9</f>
        <v>0</v>
      </c>
      <c r="BO9" s="31">
        <f t="shared" si="1"/>
        <v>0</v>
      </c>
      <c r="BP9" s="31">
        <f t="shared" si="1"/>
        <v>0</v>
      </c>
      <c r="BQ9" s="31">
        <f t="shared" si="1"/>
        <v>0</v>
      </c>
      <c r="BR9" s="31">
        <f t="shared" si="1"/>
        <v>0</v>
      </c>
      <c r="BS9" s="31">
        <f t="shared" si="1"/>
        <v>0</v>
      </c>
      <c r="BT9" s="31">
        <f t="shared" si="1"/>
        <v>0</v>
      </c>
      <c r="BU9" s="31">
        <f t="shared" si="1"/>
        <v>0</v>
      </c>
      <c r="BV9" s="168"/>
    </row>
    <row r="10" spans="1:74" ht="15.75" thickTop="1">
      <c r="A10" s="137"/>
      <c r="B10" s="282"/>
      <c r="C10" s="282"/>
      <c r="D10" s="282"/>
      <c r="E10" s="282"/>
      <c r="F10" s="282"/>
      <c r="G10" s="282"/>
      <c r="H10" s="282"/>
      <c r="I10" s="282"/>
      <c r="J10" s="282"/>
      <c r="K10" s="282"/>
      <c r="L10" s="282"/>
      <c r="M10" s="282"/>
      <c r="N10" s="282"/>
      <c r="O10" s="282"/>
      <c r="P10" s="273"/>
      <c r="Q10" s="273"/>
      <c r="R10" s="273"/>
      <c r="S10" s="137"/>
      <c r="T10" s="137"/>
      <c r="U10" s="137"/>
      <c r="V10" s="137"/>
      <c r="W10" s="137"/>
      <c r="X10" s="137"/>
      <c r="Y10" s="137"/>
      <c r="Z10" s="137"/>
      <c r="AA10" s="137"/>
      <c r="AB10" s="137"/>
      <c r="AC10" s="137"/>
      <c r="AD10" s="143"/>
      <c r="AE10" s="143"/>
      <c r="AF10" s="143"/>
      <c r="AG10" s="143"/>
      <c r="AH10" s="144"/>
      <c r="AI10" s="144"/>
      <c r="AJ10" s="144"/>
      <c r="AK10" s="144"/>
      <c r="AL10" s="168"/>
      <c r="AM10" s="294">
        <f>'AS T02 (Key financials-BS)'!D9+'AS T02 (Key financials-BS)'!D10-B9</f>
        <v>9.1449999999999818</v>
      </c>
      <c r="AN10" s="294">
        <f>'AS T02 (Key financials-BS)'!E9+'AS T02 (Key financials-BS)'!E10-C9</f>
        <v>9.5990000000000464</v>
      </c>
      <c r="AO10" s="294">
        <f>'AS T02 (Key financials-BS)'!F9+'AS T02 (Key financials-BS)'!F10-D9</f>
        <v>9.5990000000000464</v>
      </c>
      <c r="AP10" s="294">
        <f>'AS T02 (Key financials-BS)'!G9+'AS T02 (Key financials-BS)'!G10-E9</f>
        <v>9.7760000000000673</v>
      </c>
      <c r="AQ10" s="294">
        <f>'AS T02 (Key financials-BS)'!H9+'AS T02 (Key financials-BS)'!H10-F9</f>
        <v>9.7759999999999536</v>
      </c>
      <c r="AR10" s="294">
        <f>'AS T02 (Key financials-BS)'!I9+'AS T02 (Key financials-BS)'!I10-G9</f>
        <v>10.106000000000108</v>
      </c>
      <c r="AS10" s="294">
        <f>'AS T02 (Key financials-BS)'!J9+'AS T02 (Key financials-BS)'!J10-H9</f>
        <v>10.106999999999971</v>
      </c>
      <c r="AT10" s="294">
        <f>'AS T02 (Key financials-BS)'!K9+'AS T02 (Key financials-BS)'!K10-I9</f>
        <v>10.106999999999971</v>
      </c>
      <c r="AU10" s="294">
        <f>'AS T02 (Key financials-BS)'!L9+'AS T02 (Key financials-BS)'!L10-J9</f>
        <v>10.106999999999971</v>
      </c>
      <c r="AV10" s="294">
        <f>'AS T02 (Key financials-BS)'!M9+'AS T02 (Key financials-BS)'!M10-K9</f>
        <v>98.348999999999705</v>
      </c>
      <c r="AW10" s="294">
        <f>'AS T02 (Key financials-BS)'!N9+'AS T02 (Key financials-BS)'!N10-L9</f>
        <v>100.5</v>
      </c>
      <c r="AX10" s="294">
        <f>'AS T02 (Key financials-BS)'!O9+'AS T02 (Key financials-BS)'!O10-M9</f>
        <v>105.03500000000008</v>
      </c>
      <c r="AY10" s="294" t="e">
        <f>'AS T02 (Key financials-BS)'!#REF!+'AS T02 (Key financials-BS)'!#REF!-N9</f>
        <v>#REF!</v>
      </c>
      <c r="AZ10" s="294" t="e">
        <f>'AS T02 (Key financials-BS)'!#REF!+'AS T02 (Key financials-BS)'!#REF!-O9</f>
        <v>#REF!</v>
      </c>
      <c r="BA10" s="294" t="e">
        <f>'AS T02 (Key financials-BS)'!#REF!+'AS T02 (Key financials-BS)'!#REF!-P9</f>
        <v>#REF!</v>
      </c>
      <c r="BB10" s="294" t="e">
        <f>'AS T02 (Key financials-BS)'!#REF!+'AS T02 (Key financials-BS)'!#REF!-Q9</f>
        <v>#REF!</v>
      </c>
      <c r="BC10" s="294" t="e">
        <f>'AS T02 (Key financials-BS)'!#REF!+'AS T02 (Key financials-BS)'!#REF!-R9</f>
        <v>#REF!</v>
      </c>
      <c r="BD10" s="294" t="e">
        <f>'AS T02 (Key financials-BS)'!#REF!+'AS T02 (Key financials-BS)'!#REF!-S9</f>
        <v>#REF!</v>
      </c>
      <c r="BE10" s="294" t="e">
        <f>'AS T02 (Key financials-BS)'!#REF!+'AS T02 (Key financials-BS)'!#REF!-T9</f>
        <v>#REF!</v>
      </c>
      <c r="BF10" s="294" t="e">
        <f>'AS T02 (Key financials-BS)'!#REF!+'AS T02 (Key financials-BS)'!#REF!-U9</f>
        <v>#REF!</v>
      </c>
      <c r="BG10" s="294" t="e">
        <f>'AS T02 (Key financials-BS)'!#REF!+'AS T02 (Key financials-BS)'!#REF!-V9</f>
        <v>#REF!</v>
      </c>
      <c r="BH10" s="294" t="e">
        <f>'AS T02 (Key financials-BS)'!#REF!+'AS T02 (Key financials-BS)'!#REF!-W9</f>
        <v>#REF!</v>
      </c>
      <c r="BI10" s="294" t="e">
        <f>'AS T02 (Key financials-BS)'!#REF!+'AS T02 (Key financials-BS)'!#REF!-X9</f>
        <v>#REF!</v>
      </c>
      <c r="BJ10" s="295" t="e">
        <f>'AS T02 (Key financials-BS)'!#REF!-Y9</f>
        <v>#REF!</v>
      </c>
      <c r="BK10" s="294" t="e">
        <f>'AS T02 (Key financials-BS)'!#REF!-Z9</f>
        <v>#REF!</v>
      </c>
      <c r="BL10" s="295" t="e">
        <f>'AS T02 (Key financials-BS)'!#REF!-AA9</f>
        <v>#REF!</v>
      </c>
      <c r="BM10" s="31" t="e">
        <f>'AS T02 (Key financials-BS)'!#REF!-AB9</f>
        <v>#REF!</v>
      </c>
      <c r="BN10" s="31" t="e">
        <f>'AS T02 (Key financials-BS)'!#REF!-AD9</f>
        <v>#REF!</v>
      </c>
      <c r="BO10" s="31" t="e">
        <f>'AS T02 (Key financials-BS)'!#REF!-AE9</f>
        <v>#REF!</v>
      </c>
      <c r="BP10" s="31" t="e">
        <f>'AS T02 (Key financials-BS)'!#REF!-AF9</f>
        <v>#REF!</v>
      </c>
      <c r="BQ10" s="31" t="e">
        <f>'AS T02 (Key financials-BS)'!#REF!-AG9</f>
        <v>#REF!</v>
      </c>
      <c r="BR10" s="31" t="e">
        <f>'AS T02 (Key financials-BS)'!#REF!-AH9</f>
        <v>#REF!</v>
      </c>
      <c r="BS10" s="31" t="e">
        <f>'AS T02 (Key financials-BS)'!#REF!-AI9</f>
        <v>#REF!</v>
      </c>
      <c r="BT10" s="31" t="e">
        <f>'AS T02 (Key financials-BS)'!#REF!-AJ9</f>
        <v>#REF!</v>
      </c>
      <c r="BU10" s="219" t="e">
        <f>'AS T02 (Key financials-BS)'!#REF!-AK9</f>
        <v>#REF!</v>
      </c>
      <c r="BV10" s="168"/>
    </row>
    <row r="11" spans="1:74">
      <c r="A11" s="135" t="s">
        <v>37</v>
      </c>
      <c r="B11" s="274"/>
      <c r="C11" s="274"/>
      <c r="D11" s="274"/>
      <c r="E11" s="274"/>
      <c r="F11" s="274"/>
      <c r="G11" s="274"/>
      <c r="H11" s="274"/>
      <c r="I11" s="274"/>
      <c r="J11" s="274"/>
      <c r="K11" s="274"/>
      <c r="L11" s="274"/>
      <c r="M11" s="274"/>
      <c r="N11" s="274"/>
      <c r="O11" s="274"/>
      <c r="P11" s="274"/>
      <c r="Q11" s="274"/>
      <c r="R11" s="274"/>
      <c r="S11" s="204"/>
      <c r="T11" s="204"/>
      <c r="U11" s="204"/>
      <c r="V11" s="204"/>
      <c r="W11" s="204"/>
      <c r="X11" s="204"/>
      <c r="Y11" s="204"/>
      <c r="Z11" s="204"/>
      <c r="AA11" s="204"/>
      <c r="AB11" s="204"/>
      <c r="AC11" s="204"/>
      <c r="AD11" s="145"/>
      <c r="AE11" s="145"/>
      <c r="AF11" s="145"/>
      <c r="AG11" s="145"/>
      <c r="AH11" s="145"/>
      <c r="AI11" s="145"/>
      <c r="AJ11" s="145"/>
      <c r="AK11" s="145"/>
      <c r="AL11" s="168"/>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168"/>
    </row>
    <row r="12" spans="1:74">
      <c r="A12" s="286" t="s">
        <v>158</v>
      </c>
      <c r="B12" s="255">
        <f>ROUND(('[1]CYPRUS BY TYPE'!$C$13+'[1]CYPRUS BY TYPE'!$C$24+'[1]CYPRUS BY TYPE'!$C$34)/1000,3)</f>
        <v>40.706000000000003</v>
      </c>
      <c r="C12" s="233">
        <v>48.292999999999999</v>
      </c>
      <c r="D12" s="233">
        <v>49.743000000000002</v>
      </c>
      <c r="E12" s="233">
        <v>49.357999999999997</v>
      </c>
      <c r="F12" s="233">
        <v>51.39</v>
      </c>
      <c r="G12" s="233">
        <v>54.823</v>
      </c>
      <c r="H12" s="233">
        <v>56.576000000000001</v>
      </c>
      <c r="I12" s="233">
        <v>63.698999999999998</v>
      </c>
      <c r="J12" s="233">
        <v>68.635000000000005</v>
      </c>
      <c r="K12" s="233">
        <v>74.765000000000001</v>
      </c>
      <c r="L12" s="233">
        <v>76.680000000000007</v>
      </c>
      <c r="M12" s="233">
        <f>72.307+6.674</f>
        <v>78.981000000000009</v>
      </c>
      <c r="N12" s="233">
        <f>74.248+7.787</f>
        <v>82.035000000000011</v>
      </c>
      <c r="O12" s="233">
        <f>78.816+9.399</f>
        <v>88.215000000000003</v>
      </c>
      <c r="P12" s="233">
        <f>130.824+12.583</f>
        <v>143.40700000000001</v>
      </c>
      <c r="Q12" s="233">
        <f>139.659+12.646</f>
        <v>152.30500000000001</v>
      </c>
      <c r="R12" s="233">
        <f>144.915+13.013</f>
        <v>157.928</v>
      </c>
      <c r="S12" s="233">
        <f>162.89+13.808</f>
        <v>176.69799999999998</v>
      </c>
      <c r="T12" s="233">
        <f>167.695+14.348</f>
        <v>182.04300000000001</v>
      </c>
      <c r="U12" s="233">
        <f>169.504+13.552</f>
        <v>183.05599999999998</v>
      </c>
      <c r="V12" s="233">
        <f>167.33+14.375</f>
        <v>181.70500000000001</v>
      </c>
      <c r="W12" s="233">
        <v>182.054</v>
      </c>
      <c r="X12" s="233">
        <v>167.11099999999999</v>
      </c>
      <c r="Y12" s="233">
        <v>171.732</v>
      </c>
      <c r="Z12" s="233">
        <v>163.988</v>
      </c>
      <c r="AA12" s="233">
        <v>162.77600000000001</v>
      </c>
      <c r="AB12" s="233">
        <v>159.084</v>
      </c>
      <c r="AC12" s="233">
        <v>159.482</v>
      </c>
      <c r="AD12" s="141">
        <v>146.214</v>
      </c>
      <c r="AE12" s="141">
        <v>133.822</v>
      </c>
      <c r="AF12" s="141">
        <v>115.23</v>
      </c>
      <c r="AG12" s="141">
        <v>96.671999999999997</v>
      </c>
      <c r="AH12" s="141">
        <v>90.308000000000007</v>
      </c>
      <c r="AI12" s="141">
        <v>85.51</v>
      </c>
      <c r="AJ12" s="141">
        <v>66.37</v>
      </c>
      <c r="AK12" s="169">
        <v>42.548999999999999</v>
      </c>
      <c r="AL12" s="168"/>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168"/>
    </row>
    <row r="13" spans="1:74">
      <c r="A13" s="286" t="s">
        <v>159</v>
      </c>
      <c r="B13" s="255">
        <f>ROUND(('[1]CYPRUS BY TYPE'!$C$14+'[1]CYPRUS BY TYPE'!$C$25+'[1]CYPRUS BY TYPE'!$C$35)/1000,3)</f>
        <v>51.435000000000002</v>
      </c>
      <c r="C13" s="233">
        <v>120.92400000000001</v>
      </c>
      <c r="D13" s="233">
        <v>112.517</v>
      </c>
      <c r="E13" s="233">
        <v>111.687</v>
      </c>
      <c r="F13" s="233">
        <v>115.571</v>
      </c>
      <c r="G13" s="233">
        <v>135.90899999999999</v>
      </c>
      <c r="H13" s="233">
        <v>141.541</v>
      </c>
      <c r="I13" s="233">
        <v>154.41800000000001</v>
      </c>
      <c r="J13" s="233">
        <v>179.815</v>
      </c>
      <c r="K13" s="233">
        <v>186.95699999999999</v>
      </c>
      <c r="L13" s="233">
        <v>207.21199999999999</v>
      </c>
      <c r="M13" s="233">
        <f>160.839+41.645</f>
        <v>202.48400000000001</v>
      </c>
      <c r="N13" s="233">
        <f>163.789+44.014</f>
        <v>207.803</v>
      </c>
      <c r="O13" s="233">
        <f>171.024+45.731</f>
        <v>216.755</v>
      </c>
      <c r="P13" s="233">
        <f>187.701+49.574</f>
        <v>237.27499999999998</v>
      </c>
      <c r="Q13" s="233">
        <f>186.284+50.205</f>
        <v>236.48899999999998</v>
      </c>
      <c r="R13" s="233">
        <f>189.172+50.276</f>
        <v>239.44800000000001</v>
      </c>
      <c r="S13" s="233">
        <f>168.145+50.511</f>
        <v>218.65600000000001</v>
      </c>
      <c r="T13" s="233">
        <f>142.473+51.237</f>
        <v>193.71</v>
      </c>
      <c r="U13" s="233">
        <f>144.375+51.607</f>
        <v>195.982</v>
      </c>
      <c r="V13" s="233">
        <f>147.568+(50.29+1.477)</f>
        <v>199.33500000000001</v>
      </c>
      <c r="W13" s="233">
        <v>218.08600000000001</v>
      </c>
      <c r="X13" s="233">
        <v>231.44900000000001</v>
      </c>
      <c r="Y13" s="233">
        <v>226.82300000000001</v>
      </c>
      <c r="Z13" s="233">
        <v>227</v>
      </c>
      <c r="AA13" s="233">
        <v>221.0146</v>
      </c>
      <c r="AB13" s="233">
        <v>224.61</v>
      </c>
      <c r="AC13" s="233">
        <v>228.881</v>
      </c>
      <c r="AD13" s="141">
        <v>288.28199999999998</v>
      </c>
      <c r="AE13" s="141">
        <v>284.16899999999998</v>
      </c>
      <c r="AF13" s="141">
        <v>279.392</v>
      </c>
      <c r="AG13" s="141">
        <v>270.37599999999998</v>
      </c>
      <c r="AH13" s="141">
        <v>256.15199999999999</v>
      </c>
      <c r="AI13" s="141">
        <v>188.62100000000001</v>
      </c>
      <c r="AJ13" s="141">
        <v>175.01599999999999</v>
      </c>
      <c r="AK13" s="169">
        <v>150.37100000000001</v>
      </c>
      <c r="AL13" s="168"/>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168"/>
    </row>
    <row r="14" spans="1:74">
      <c r="A14" s="286" t="s">
        <v>160</v>
      </c>
      <c r="B14" s="255">
        <f>ROUND(('[1]CYPRUS BY TYPE'!$C$15+'[1]CYPRUS BY TYPE'!$C$26+'[1]CYPRUS BY TYPE'!$C$36)/1000,3)</f>
        <v>13.887</v>
      </c>
      <c r="C14" s="233">
        <v>15.525</v>
      </c>
      <c r="D14" s="233">
        <v>25.186</v>
      </c>
      <c r="E14" s="233">
        <v>34.918999999999997</v>
      </c>
      <c r="F14" s="233">
        <v>35.956000000000003</v>
      </c>
      <c r="G14" s="233">
        <v>46.563000000000002</v>
      </c>
      <c r="H14" s="233">
        <v>46.953000000000003</v>
      </c>
      <c r="I14" s="233">
        <v>46.661000000000001</v>
      </c>
      <c r="J14" s="233">
        <v>47.610999999999997</v>
      </c>
      <c r="K14" s="233">
        <v>52.377000000000002</v>
      </c>
      <c r="L14" s="233">
        <v>52.661999999999999</v>
      </c>
      <c r="M14" s="233">
        <f>32.073+20.147</f>
        <v>52.22</v>
      </c>
      <c r="N14" s="233">
        <f>33.17+20.926</f>
        <v>54.096000000000004</v>
      </c>
      <c r="O14" s="233">
        <f>32.822+23.161</f>
        <v>55.983000000000004</v>
      </c>
      <c r="P14" s="233">
        <f>44.387+24.312</f>
        <v>68.698999999999998</v>
      </c>
      <c r="Q14" s="233">
        <f>45.045+24.713</f>
        <v>69.75800000000001</v>
      </c>
      <c r="R14" s="233">
        <f>47.647+25.66</f>
        <v>73.307000000000002</v>
      </c>
      <c r="S14" s="233">
        <f>46.606+27.833</f>
        <v>74.438999999999993</v>
      </c>
      <c r="T14" s="233">
        <f>45.989+27.93</f>
        <v>73.918999999999997</v>
      </c>
      <c r="U14" s="233">
        <f>45.545+26.682</f>
        <v>72.227000000000004</v>
      </c>
      <c r="V14" s="233">
        <f>46.703+26.646</f>
        <v>73.349000000000004</v>
      </c>
      <c r="W14" s="233">
        <v>78.796000000000006</v>
      </c>
      <c r="X14" s="233">
        <v>79.326999999999998</v>
      </c>
      <c r="Y14" s="233">
        <v>81.828000000000003</v>
      </c>
      <c r="Z14" s="233">
        <v>79.691000000000003</v>
      </c>
      <c r="AA14" s="233">
        <v>81.587000000000003</v>
      </c>
      <c r="AB14" s="233">
        <v>96.23</v>
      </c>
      <c r="AC14" s="233">
        <v>93.894000000000005</v>
      </c>
      <c r="AD14" s="141">
        <v>112.89</v>
      </c>
      <c r="AE14" s="141">
        <v>89.091999999999999</v>
      </c>
      <c r="AF14" s="141">
        <v>87.022000000000006</v>
      </c>
      <c r="AG14" s="141">
        <v>84.488</v>
      </c>
      <c r="AH14" s="141">
        <v>81.572000000000003</v>
      </c>
      <c r="AI14" s="141">
        <v>62.295999999999999</v>
      </c>
      <c r="AJ14" s="141">
        <v>30.626000000000001</v>
      </c>
      <c r="AK14" s="169">
        <v>24.224</v>
      </c>
      <c r="AL14" s="168"/>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168"/>
    </row>
    <row r="15" spans="1:74">
      <c r="A15" s="286" t="s">
        <v>161</v>
      </c>
      <c r="B15" s="255">
        <f>ROUND(('[1]CYPRUS BY TYPE'!$C$16+'[1]CYPRUS BY TYPE'!$C$27+'[1]CYPRUS BY TYPE'!$C$37)/1000,3)</f>
        <v>7.0049999999999999</v>
      </c>
      <c r="C15" s="233">
        <v>13.244999999999999</v>
      </c>
      <c r="D15" s="233">
        <v>13.244999999999999</v>
      </c>
      <c r="E15" s="233">
        <v>15.244999999999999</v>
      </c>
      <c r="F15" s="233">
        <v>17.344999999999999</v>
      </c>
      <c r="G15" s="233">
        <v>19.344999999999999</v>
      </c>
      <c r="H15" s="233">
        <v>22.57</v>
      </c>
      <c r="I15" s="233">
        <v>22.395</v>
      </c>
      <c r="J15" s="233">
        <v>24.027000000000001</v>
      </c>
      <c r="K15" s="233">
        <v>23.9</v>
      </c>
      <c r="L15" s="233">
        <v>23.873999999999999</v>
      </c>
      <c r="M15" s="233">
        <f>25.042</f>
        <v>25.042000000000002</v>
      </c>
      <c r="N15" s="233">
        <f>24.619</f>
        <v>24.619</v>
      </c>
      <c r="O15" s="233">
        <f>24.565</f>
        <v>24.565000000000001</v>
      </c>
      <c r="P15" s="233">
        <v>24.6</v>
      </c>
      <c r="Q15" s="233">
        <v>24.684000000000001</v>
      </c>
      <c r="R15" s="233">
        <v>24.684000000000001</v>
      </c>
      <c r="S15" s="233">
        <v>24.026</v>
      </c>
      <c r="T15" s="233">
        <v>24.024999999999999</v>
      </c>
      <c r="U15" s="233">
        <v>24.274000000000001</v>
      </c>
      <c r="V15" s="233">
        <v>24.286000000000001</v>
      </c>
      <c r="W15" s="233">
        <v>27.922000000000001</v>
      </c>
      <c r="X15" s="233">
        <v>26.338999999999999</v>
      </c>
      <c r="Y15" s="233">
        <v>34.709000000000003</v>
      </c>
      <c r="Z15" s="233">
        <v>34.840000000000003</v>
      </c>
      <c r="AA15" s="233">
        <v>36.606999999999999</v>
      </c>
      <c r="AB15" s="233">
        <v>36.606999999999999</v>
      </c>
      <c r="AC15" s="233">
        <v>56.747</v>
      </c>
      <c r="AD15" s="141">
        <v>77.819999999999993</v>
      </c>
      <c r="AE15" s="141">
        <v>65.192999999999998</v>
      </c>
      <c r="AF15" s="141">
        <v>63.503999999999998</v>
      </c>
      <c r="AG15" s="141">
        <v>73.298000000000002</v>
      </c>
      <c r="AH15" s="141">
        <v>74.578000000000003</v>
      </c>
      <c r="AI15" s="141">
        <v>65.847999999999999</v>
      </c>
      <c r="AJ15" s="141">
        <v>70.887</v>
      </c>
      <c r="AK15" s="169">
        <v>99.69</v>
      </c>
      <c r="AL15" s="168"/>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168"/>
    </row>
    <row r="16" spans="1:74">
      <c r="A16" s="286" t="s">
        <v>162</v>
      </c>
      <c r="B16" s="255">
        <f>ROUND(('[1]CYPRUS BY TYPE'!$C$17+'[1]CYPRUS BY TYPE'!$C$28+'[1]CYPRUS BY TYPE'!$C$38)/1000,3)</f>
        <v>318.64800000000002</v>
      </c>
      <c r="C16" s="233">
        <v>554.08900000000006</v>
      </c>
      <c r="D16" s="233">
        <v>573.97500000000002</v>
      </c>
      <c r="E16" s="233">
        <v>601.90899999999999</v>
      </c>
      <c r="F16" s="233">
        <v>614.34500000000003</v>
      </c>
      <c r="G16" s="233">
        <v>673.298</v>
      </c>
      <c r="H16" s="233">
        <v>687.05399999999997</v>
      </c>
      <c r="I16" s="233">
        <v>706.39200000000005</v>
      </c>
      <c r="J16" s="233">
        <v>736.91300000000001</v>
      </c>
      <c r="K16" s="233">
        <v>759.30499999999995</v>
      </c>
      <c r="L16" s="233">
        <v>720.43399999999997</v>
      </c>
      <c r="M16" s="233">
        <f>737.868+7.6</f>
        <v>745.46800000000007</v>
      </c>
      <c r="N16" s="233">
        <f>755.659+15.09</f>
        <v>770.74900000000002</v>
      </c>
      <c r="O16" s="233">
        <f>780.448+15.775</f>
        <v>796.22299999999996</v>
      </c>
      <c r="P16" s="233">
        <f>828.576+15.775</f>
        <v>844.351</v>
      </c>
      <c r="Q16" s="233">
        <f>860.322</f>
        <v>860.322</v>
      </c>
      <c r="R16" s="233">
        <f>868.615</f>
        <v>868.61500000000001</v>
      </c>
      <c r="S16" s="233">
        <f>880.694</f>
        <v>880.69399999999996</v>
      </c>
      <c r="T16" s="233">
        <f>884.238</f>
        <v>884.23800000000006</v>
      </c>
      <c r="U16" s="233">
        <v>904.976</v>
      </c>
      <c r="V16" s="233">
        <v>906.98</v>
      </c>
      <c r="W16" s="233">
        <v>892.70799999999997</v>
      </c>
      <c r="X16" s="233">
        <v>916.47799999999995</v>
      </c>
      <c r="Y16" s="233">
        <f>902.148+0.558</f>
        <v>902.70600000000002</v>
      </c>
      <c r="Z16" s="233">
        <v>897.02</v>
      </c>
      <c r="AA16" s="233">
        <v>850.423</v>
      </c>
      <c r="AB16" s="233">
        <v>857.34500000000003</v>
      </c>
      <c r="AC16" s="233">
        <v>830.53099999999995</v>
      </c>
      <c r="AD16" s="141">
        <v>836.54300000000001</v>
      </c>
      <c r="AE16" s="141">
        <v>771.58299999999997</v>
      </c>
      <c r="AF16" s="141">
        <v>784.94799999999998</v>
      </c>
      <c r="AG16" s="141">
        <v>730.46400000000006</v>
      </c>
      <c r="AH16" s="141">
        <v>739.05799999999999</v>
      </c>
      <c r="AI16" s="141">
        <v>706.54499999999996</v>
      </c>
      <c r="AJ16" s="141">
        <v>584.04600000000005</v>
      </c>
      <c r="AK16" s="169">
        <v>249.33</v>
      </c>
      <c r="AL16" s="168"/>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168"/>
    </row>
    <row r="17" spans="1:74">
      <c r="A17" s="285" t="s">
        <v>163</v>
      </c>
      <c r="B17" s="255">
        <v>0</v>
      </c>
      <c r="C17" s="233">
        <v>0</v>
      </c>
      <c r="D17" s="233">
        <v>0</v>
      </c>
      <c r="E17" s="233">
        <v>0</v>
      </c>
      <c r="F17" s="233">
        <v>0</v>
      </c>
      <c r="G17" s="233">
        <v>0</v>
      </c>
      <c r="H17" s="233">
        <v>0</v>
      </c>
      <c r="I17" s="233">
        <v>0</v>
      </c>
      <c r="J17" s="233">
        <v>0</v>
      </c>
      <c r="K17" s="233">
        <v>0</v>
      </c>
      <c r="L17" s="233">
        <v>0</v>
      </c>
      <c r="M17" s="233">
        <v>0</v>
      </c>
      <c r="N17" s="233">
        <v>0</v>
      </c>
      <c r="O17" s="233">
        <v>0</v>
      </c>
      <c r="P17" s="233">
        <v>0</v>
      </c>
      <c r="Q17" s="233">
        <v>0</v>
      </c>
      <c r="R17" s="233">
        <v>0</v>
      </c>
      <c r="S17" s="233">
        <v>0</v>
      </c>
      <c r="T17" s="233">
        <v>0</v>
      </c>
      <c r="U17" s="233">
        <v>0</v>
      </c>
      <c r="V17" s="233">
        <v>0</v>
      </c>
      <c r="W17" s="233">
        <v>0</v>
      </c>
      <c r="X17" s="233">
        <v>1.589</v>
      </c>
      <c r="Y17" s="233">
        <v>1.2390000000000001</v>
      </c>
      <c r="Z17" s="233">
        <v>0.67800000000000005</v>
      </c>
      <c r="AA17" s="233">
        <v>77.926000000000002</v>
      </c>
      <c r="AB17" s="233">
        <v>67.087000000000003</v>
      </c>
      <c r="AC17" s="233">
        <v>60.107999999999997</v>
      </c>
      <c r="AD17" s="141">
        <v>56.991999999999997</v>
      </c>
      <c r="AE17" s="141">
        <v>53.588000000000001</v>
      </c>
      <c r="AF17" s="141">
        <v>0.83</v>
      </c>
      <c r="AG17" s="141">
        <v>0.83</v>
      </c>
      <c r="AH17" s="141">
        <v>0.79100000000000004</v>
      </c>
      <c r="AI17" s="141">
        <v>0.34799999999999998</v>
      </c>
      <c r="AJ17" s="141">
        <v>0.34799999999999998</v>
      </c>
      <c r="AK17" s="169">
        <v>0.36499999999999999</v>
      </c>
      <c r="AL17" s="168"/>
      <c r="AM17" s="219"/>
      <c r="AN17" s="219"/>
      <c r="AO17" s="219"/>
      <c r="AP17" s="219"/>
      <c r="AQ17" s="219"/>
      <c r="AR17" s="219"/>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168"/>
    </row>
    <row r="18" spans="1:74" ht="15.75" thickBot="1">
      <c r="A18" s="138" t="s">
        <v>305</v>
      </c>
      <c r="B18" s="256">
        <f>ROUND(('[1]CYPRUS BY TYPE'!$C$19+'[1]CYPRUS BY TYPE'!$C$30+'[1]CYPRUS BY TYPE'!$C$40)/1000,3)</f>
        <v>431.68099999999998</v>
      </c>
      <c r="C18" s="234">
        <v>752.07600000000002</v>
      </c>
      <c r="D18" s="234">
        <v>774.66600000000005</v>
      </c>
      <c r="E18" s="234">
        <v>813.11800000000005</v>
      </c>
      <c r="F18" s="234">
        <v>834.60700000000008</v>
      </c>
      <c r="G18" s="234">
        <v>929.93799999999999</v>
      </c>
      <c r="H18" s="234">
        <v>954.69399999999996</v>
      </c>
      <c r="I18" s="234">
        <v>993.56500000000005</v>
      </c>
      <c r="J18" s="234">
        <v>1057.001</v>
      </c>
      <c r="K18" s="234">
        <v>1097.3040000000001</v>
      </c>
      <c r="L18" s="234">
        <v>1080.8620000000001</v>
      </c>
      <c r="M18" s="234">
        <f>1028.129+76.066</f>
        <v>1104.1949999999999</v>
      </c>
      <c r="N18" s="234">
        <f>1051.485+87.817</f>
        <v>1139.3019999999999</v>
      </c>
      <c r="O18" s="234">
        <f>1087.675+94.066</f>
        <v>1181.741</v>
      </c>
      <c r="P18" s="234">
        <f>1216.088+102.244</f>
        <v>1318.3319999999999</v>
      </c>
      <c r="Q18" s="234">
        <f>1255.994+87.564</f>
        <v>1343.558</v>
      </c>
      <c r="R18" s="234">
        <f>1275.033+88.949</f>
        <v>1363.982</v>
      </c>
      <c r="S18" s="234">
        <f>1282.361+92.152</f>
        <v>1374.5130000000001</v>
      </c>
      <c r="T18" s="234">
        <f>1264.42+93.515</f>
        <v>1357.9350000000002</v>
      </c>
      <c r="U18" s="234">
        <f>1288.674+91.841</f>
        <v>1380.5149999999999</v>
      </c>
      <c r="V18" s="234">
        <f>1292.867+(91.311+1.477)</f>
        <v>1385.655</v>
      </c>
      <c r="W18" s="234">
        <v>1399.566</v>
      </c>
      <c r="X18" s="234">
        <v>1422.2929999999999</v>
      </c>
      <c r="Y18" s="234">
        <f>1418.479+0.558</f>
        <v>1419.037</v>
      </c>
      <c r="Z18" s="234">
        <v>1403.2170000000001</v>
      </c>
      <c r="AA18" s="234">
        <v>1430.3335999999999</v>
      </c>
      <c r="AB18" s="234">
        <v>1440.963</v>
      </c>
      <c r="AC18" s="234">
        <v>1429.643</v>
      </c>
      <c r="AD18" s="142">
        <v>1518.741</v>
      </c>
      <c r="AE18" s="142">
        <v>1397.4469999999999</v>
      </c>
      <c r="AF18" s="142">
        <v>1330.9259999999999</v>
      </c>
      <c r="AG18" s="142">
        <v>1256.1279999999999</v>
      </c>
      <c r="AH18" s="142">
        <v>1242.4590000000001</v>
      </c>
      <c r="AI18" s="142">
        <v>1109.1679999999999</v>
      </c>
      <c r="AJ18" s="142">
        <v>927.29300000000001</v>
      </c>
      <c r="AK18" s="97">
        <v>566.529</v>
      </c>
      <c r="AL18" s="168"/>
      <c r="AM18" s="31">
        <f t="shared" ref="AM18:BJ18" si="2">SUM(B12:B17)-B18</f>
        <v>0</v>
      </c>
      <c r="AN18" s="31">
        <f t="shared" si="2"/>
        <v>0</v>
      </c>
      <c r="AO18" s="31">
        <f t="shared" si="2"/>
        <v>0</v>
      </c>
      <c r="AP18" s="31">
        <f t="shared" si="2"/>
        <v>0</v>
      </c>
      <c r="AQ18" s="31">
        <f t="shared" si="2"/>
        <v>0</v>
      </c>
      <c r="AR18" s="31">
        <f t="shared" si="2"/>
        <v>0</v>
      </c>
      <c r="AS18" s="31">
        <f t="shared" si="2"/>
        <v>0</v>
      </c>
      <c r="AT18" s="31">
        <f t="shared" si="2"/>
        <v>0</v>
      </c>
      <c r="AU18" s="31">
        <f t="shared" si="2"/>
        <v>0</v>
      </c>
      <c r="AV18" s="31">
        <f t="shared" si="2"/>
        <v>0</v>
      </c>
      <c r="AW18" s="31">
        <f t="shared" si="2"/>
        <v>0</v>
      </c>
      <c r="AX18" s="31">
        <f t="shared" si="2"/>
        <v>0</v>
      </c>
      <c r="AY18" s="31">
        <f t="shared" si="2"/>
        <v>0</v>
      </c>
      <c r="AZ18" s="31">
        <f t="shared" si="2"/>
        <v>0</v>
      </c>
      <c r="BA18" s="31">
        <f t="shared" si="2"/>
        <v>0</v>
      </c>
      <c r="BB18" s="31">
        <f t="shared" si="2"/>
        <v>0</v>
      </c>
      <c r="BC18" s="31">
        <f t="shared" si="2"/>
        <v>0</v>
      </c>
      <c r="BD18" s="31">
        <f t="shared" si="2"/>
        <v>0</v>
      </c>
      <c r="BE18" s="31">
        <f t="shared" si="2"/>
        <v>0</v>
      </c>
      <c r="BF18" s="31">
        <f t="shared" si="2"/>
        <v>0</v>
      </c>
      <c r="BG18" s="31">
        <f t="shared" si="2"/>
        <v>0</v>
      </c>
      <c r="BH18" s="31">
        <f t="shared" si="2"/>
        <v>0</v>
      </c>
      <c r="BI18" s="31">
        <f t="shared" si="2"/>
        <v>0</v>
      </c>
      <c r="BJ18" s="31">
        <f t="shared" si="2"/>
        <v>0</v>
      </c>
      <c r="BK18" s="31"/>
      <c r="BL18" s="31">
        <f>SUM(AA12:AA17)-AA18</f>
        <v>0</v>
      </c>
      <c r="BM18" s="31">
        <f>SUM(AB12:AB17)-AB18</f>
        <v>0</v>
      </c>
      <c r="BN18" s="31">
        <f>SUM(AD12:AD17)-AD18</f>
        <v>0</v>
      </c>
      <c r="BO18" s="31">
        <f t="shared" ref="BO18:BU18" si="3">SUM(AE12:AE17)-AE18</f>
        <v>0</v>
      </c>
      <c r="BP18" s="31">
        <f t="shared" si="3"/>
        <v>0</v>
      </c>
      <c r="BQ18" s="31">
        <f t="shared" si="3"/>
        <v>0</v>
      </c>
      <c r="BR18" s="31">
        <f t="shared" si="3"/>
        <v>0</v>
      </c>
      <c r="BS18" s="31">
        <f t="shared" si="3"/>
        <v>0</v>
      </c>
      <c r="BT18" s="31">
        <f t="shared" si="3"/>
        <v>0</v>
      </c>
      <c r="BU18" s="31">
        <f t="shared" si="3"/>
        <v>0</v>
      </c>
      <c r="BV18" s="168"/>
    </row>
    <row r="19" spans="1:74" ht="15.75" thickTop="1">
      <c r="A19" s="138"/>
      <c r="B19" s="269"/>
      <c r="C19" s="269"/>
      <c r="D19" s="269"/>
      <c r="E19" s="269"/>
      <c r="F19" s="269"/>
      <c r="G19" s="269"/>
      <c r="H19" s="269"/>
      <c r="I19" s="269"/>
      <c r="J19" s="269"/>
      <c r="K19" s="269"/>
      <c r="L19" s="269"/>
      <c r="M19" s="269"/>
      <c r="N19" s="269"/>
      <c r="O19" s="269"/>
      <c r="P19" s="269"/>
      <c r="Q19" s="269"/>
      <c r="R19" s="269"/>
      <c r="S19" s="269"/>
      <c r="T19" s="269"/>
      <c r="U19" s="269"/>
      <c r="V19" s="269"/>
      <c r="W19" s="138"/>
      <c r="X19" s="138"/>
      <c r="Y19" s="138"/>
      <c r="Z19" s="138"/>
      <c r="AA19" s="138"/>
      <c r="AB19" s="138"/>
      <c r="AC19" s="138"/>
      <c r="AD19" s="138"/>
      <c r="AE19" s="138"/>
      <c r="AF19" s="138"/>
      <c r="AG19" s="138"/>
      <c r="AH19" s="139"/>
      <c r="AI19" s="139"/>
      <c r="AJ19" s="139"/>
      <c r="AK19" s="9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row>
    <row r="20" spans="1:74">
      <c r="A20" s="331"/>
      <c r="B20" s="331"/>
      <c r="C20" s="331"/>
      <c r="D20" s="331"/>
      <c r="E20" s="331"/>
      <c r="F20" s="331"/>
      <c r="G20" s="331"/>
      <c r="H20" s="331"/>
      <c r="I20" s="331"/>
      <c r="J20" s="331"/>
      <c r="K20" s="331"/>
      <c r="L20" s="331"/>
      <c r="M20" s="331"/>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row>
    <row r="21" spans="1:74" ht="27.75" customHeight="1">
      <c r="A21" s="333" t="s">
        <v>486</v>
      </c>
      <c r="B21" s="333"/>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row>
    <row r="22" spans="1:74" ht="27.75" customHeight="1">
      <c r="A22" s="333" t="s">
        <v>580</v>
      </c>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row>
    <row r="23" spans="1:74">
      <c r="A23" s="331"/>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row>
    <row r="27" spans="1:74">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row>
    <row r="31" spans="1:74">
      <c r="AK31" s="18" t="s">
        <v>183</v>
      </c>
    </row>
  </sheetData>
  <sheetProtection formatCells="0" formatColumns="0" formatRows="0" insertColumns="0" insertRows="0" insertHyperlinks="0" deleteColumns="0" deleteRows="0" sort="0" autoFilter="0" pivotTables="0"/>
  <mergeCells count="8">
    <mergeCell ref="AM3:BU3"/>
    <mergeCell ref="A23:M23"/>
    <mergeCell ref="N23:U23"/>
    <mergeCell ref="V23:AC23"/>
    <mergeCell ref="AD23:AH23"/>
    <mergeCell ref="A20:M20"/>
    <mergeCell ref="A21:AK21"/>
    <mergeCell ref="A22:AK22"/>
  </mergeCells>
  <conditionalFormatting sqref="AM9:BU20">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24" orientation="landscape" r:id="rId1"/>
  <ignoredErrors>
    <ignoredError sqref="AA9 N4:N9 N12:N18 O4:O9" unlocked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45"/>
  <sheetViews>
    <sheetView zoomScaleNormal="100" workbookViewId="0">
      <pane ySplit="2" topLeftCell="A3" activePane="bottomLeft" state="frozen"/>
      <selection pane="bottomLeft" activeCell="A4" sqref="A4"/>
    </sheetView>
  </sheetViews>
  <sheetFormatPr defaultColWidth="9.140625" defaultRowHeight="15"/>
  <cols>
    <col min="1" max="1" width="37.85546875" style="18" customWidth="1"/>
    <col min="2" max="15" width="10.140625" style="18" customWidth="1"/>
    <col min="16" max="16" width="2.85546875" style="18" customWidth="1"/>
    <col min="17" max="17" width="17" style="18" bestFit="1" customWidth="1"/>
    <col min="18" max="18" width="4.5703125" style="18" customWidth="1"/>
    <col min="19" max="16384" width="9.140625" style="18"/>
  </cols>
  <sheetData>
    <row r="1" spans="1:17">
      <c r="A1" s="16" t="s">
        <v>164</v>
      </c>
      <c r="B1" s="16"/>
      <c r="C1" s="16"/>
      <c r="D1" s="16"/>
      <c r="E1" s="16"/>
      <c r="F1" s="16"/>
      <c r="G1" s="16"/>
      <c r="H1" s="16"/>
      <c r="I1" s="16"/>
      <c r="J1" s="16"/>
      <c r="K1" s="16"/>
      <c r="L1" s="16"/>
      <c r="M1" s="16"/>
      <c r="N1" s="16"/>
      <c r="O1" s="16"/>
      <c r="P1" s="16"/>
      <c r="Q1" s="16"/>
    </row>
    <row r="2" spans="1:17" ht="24.75">
      <c r="A2" s="19" t="s">
        <v>43</v>
      </c>
      <c r="B2" s="115" t="s">
        <v>638</v>
      </c>
      <c r="C2" s="115" t="s">
        <v>614</v>
      </c>
      <c r="D2" s="115" t="s">
        <v>602</v>
      </c>
      <c r="E2" s="115" t="s">
        <v>552</v>
      </c>
      <c r="F2" s="115" t="s">
        <v>526</v>
      </c>
      <c r="G2" s="115" t="s">
        <v>515</v>
      </c>
      <c r="H2" s="115" t="s">
        <v>517</v>
      </c>
      <c r="I2" s="115" t="s">
        <v>495</v>
      </c>
      <c r="J2" s="115" t="s">
        <v>496</v>
      </c>
      <c r="K2" s="115" t="s">
        <v>497</v>
      </c>
      <c r="L2" s="115" t="s">
        <v>498</v>
      </c>
      <c r="M2" s="87">
        <v>44805</v>
      </c>
      <c r="N2" s="87">
        <v>44713</v>
      </c>
      <c r="O2" s="87">
        <v>44621</v>
      </c>
      <c r="P2" s="87"/>
      <c r="Q2" s="88" t="s">
        <v>635</v>
      </c>
    </row>
    <row r="3" spans="1:17">
      <c r="A3" s="89" t="s">
        <v>165</v>
      </c>
      <c r="B3" s="76"/>
      <c r="C3" s="76"/>
      <c r="D3" s="76"/>
      <c r="E3" s="76"/>
      <c r="F3" s="76"/>
      <c r="G3" s="76"/>
      <c r="H3" s="76"/>
      <c r="I3" s="76"/>
      <c r="J3" s="76"/>
      <c r="K3" s="76"/>
      <c r="L3" s="76"/>
      <c r="M3" s="76"/>
      <c r="N3" s="76"/>
      <c r="O3" s="76"/>
      <c r="P3" s="76"/>
      <c r="Q3" s="76"/>
    </row>
    <row r="4" spans="1:17">
      <c r="A4" s="90" t="s">
        <v>128</v>
      </c>
      <c r="B4" s="175">
        <v>10261.248</v>
      </c>
      <c r="C4" s="26">
        <v>10453.668</v>
      </c>
      <c r="D4" s="26">
        <v>10809.563</v>
      </c>
      <c r="E4" s="26">
        <v>10416.293</v>
      </c>
      <c r="F4" s="26">
        <v>10547.698</v>
      </c>
      <c r="G4" s="26">
        <v>10504.120999999999</v>
      </c>
      <c r="H4" s="26">
        <v>10297.395</v>
      </c>
      <c r="I4" s="26">
        <v>10208.072</v>
      </c>
      <c r="J4" s="26">
        <v>10199.615</v>
      </c>
      <c r="K4" s="26">
        <v>10108.200000000001</v>
      </c>
      <c r="L4" s="26">
        <v>10058.534</v>
      </c>
      <c r="M4" s="26">
        <v>10471.656000000001</v>
      </c>
      <c r="N4" s="26">
        <v>10525.514999999999</v>
      </c>
      <c r="O4" s="26">
        <v>10473.013000000001</v>
      </c>
      <c r="P4" s="93"/>
      <c r="Q4" s="28">
        <v>-1.8406936206506661E-2</v>
      </c>
    </row>
    <row r="5" spans="1:17">
      <c r="A5" s="90" t="s">
        <v>166</v>
      </c>
      <c r="B5" s="175">
        <v>0</v>
      </c>
      <c r="C5" s="26">
        <v>0</v>
      </c>
      <c r="D5" s="26">
        <v>0</v>
      </c>
      <c r="E5" s="26">
        <v>0</v>
      </c>
      <c r="F5" s="26">
        <v>0</v>
      </c>
      <c r="G5" s="26">
        <v>0</v>
      </c>
      <c r="H5" s="26">
        <v>0</v>
      </c>
      <c r="I5" s="26">
        <v>0</v>
      </c>
      <c r="J5" s="26">
        <v>0</v>
      </c>
      <c r="K5" s="26">
        <v>0</v>
      </c>
      <c r="L5" s="26">
        <v>0</v>
      </c>
      <c r="M5" s="26">
        <v>0</v>
      </c>
      <c r="N5" s="26">
        <v>0</v>
      </c>
      <c r="O5" s="26">
        <v>0</v>
      </c>
      <c r="P5" s="93"/>
      <c r="Q5" s="28" t="s">
        <v>620</v>
      </c>
    </row>
    <row r="6" spans="1:17">
      <c r="A6" s="90" t="s">
        <v>105</v>
      </c>
      <c r="B6" s="175">
        <v>0</v>
      </c>
      <c r="C6" s="26">
        <v>0</v>
      </c>
      <c r="D6" s="26">
        <v>0</v>
      </c>
      <c r="E6" s="26">
        <v>0</v>
      </c>
      <c r="F6" s="26">
        <v>0</v>
      </c>
      <c r="G6" s="26">
        <v>0</v>
      </c>
      <c r="H6" s="26">
        <v>0</v>
      </c>
      <c r="I6" s="26">
        <v>0</v>
      </c>
      <c r="J6" s="26">
        <v>0</v>
      </c>
      <c r="K6" s="26">
        <v>0</v>
      </c>
      <c r="L6" s="26">
        <v>0</v>
      </c>
      <c r="M6" s="26">
        <v>0</v>
      </c>
      <c r="N6" s="26">
        <v>0</v>
      </c>
      <c r="O6" s="26">
        <v>0</v>
      </c>
      <c r="P6" s="93"/>
      <c r="Q6" s="28" t="s">
        <v>620</v>
      </c>
    </row>
    <row r="7" spans="1:17">
      <c r="A7" s="90" t="s">
        <v>167</v>
      </c>
      <c r="B7" s="175">
        <v>0.58399999999999996</v>
      </c>
      <c r="C7" s="26">
        <v>6.5000000000000002E-2</v>
      </c>
      <c r="D7" s="26">
        <v>4.2000000000000003E-2</v>
      </c>
      <c r="E7" s="26">
        <v>-7.0999999999999994E-2</v>
      </c>
      <c r="F7" s="26">
        <v>1E-3</v>
      </c>
      <c r="G7" s="26">
        <v>-0.06</v>
      </c>
      <c r="H7" s="26">
        <v>-0.05</v>
      </c>
      <c r="I7" s="26">
        <v>0.41399999999999998</v>
      </c>
      <c r="J7" s="26">
        <v>0.879</v>
      </c>
      <c r="K7" s="26">
        <v>0.94499999999999995</v>
      </c>
      <c r="L7" s="26">
        <v>0.98699999999999999</v>
      </c>
      <c r="M7" s="26">
        <v>4.2839999999999998</v>
      </c>
      <c r="N7" s="26">
        <v>10.747999999999999</v>
      </c>
      <c r="O7" s="26">
        <v>11.384</v>
      </c>
      <c r="P7" s="93"/>
      <c r="Q7" s="28">
        <v>7.9846153846153829</v>
      </c>
    </row>
    <row r="8" spans="1:17">
      <c r="A8" s="90" t="s">
        <v>168</v>
      </c>
      <c r="B8" s="175">
        <v>37.125999999999998</v>
      </c>
      <c r="C8" s="26">
        <v>39.789000000000001</v>
      </c>
      <c r="D8" s="26">
        <v>30.777999999999999</v>
      </c>
      <c r="E8" s="26">
        <v>36.326999999999998</v>
      </c>
      <c r="F8" s="26">
        <v>44.057000000000002</v>
      </c>
      <c r="G8" s="26">
        <v>55.591000000000001</v>
      </c>
      <c r="H8" s="26">
        <v>55.061999999999998</v>
      </c>
      <c r="I8" s="26">
        <v>71.33</v>
      </c>
      <c r="J8" s="26">
        <v>72.415999999999997</v>
      </c>
      <c r="K8" s="26">
        <v>71.09</v>
      </c>
      <c r="L8" s="26">
        <v>70.552999999999997</v>
      </c>
      <c r="M8" s="26">
        <v>69.989000000000004</v>
      </c>
      <c r="N8" s="26">
        <v>71.944000000000003</v>
      </c>
      <c r="O8" s="26">
        <v>78.692999999999998</v>
      </c>
      <c r="P8" s="93"/>
      <c r="Q8" s="28">
        <v>-6.6928045439694481E-2</v>
      </c>
    </row>
    <row r="9" spans="1:17">
      <c r="A9" s="108" t="s">
        <v>468</v>
      </c>
      <c r="B9" s="175">
        <v>1.4059999999999999</v>
      </c>
      <c r="C9" s="26">
        <v>1.0479999999999998</v>
      </c>
      <c r="D9" s="26">
        <v>-6.2960000000000003</v>
      </c>
      <c r="E9" s="26">
        <v>-11.367000000000001</v>
      </c>
      <c r="F9" s="26">
        <v>-11.366</v>
      </c>
      <c r="G9" s="26">
        <v>-11.368</v>
      </c>
      <c r="H9" s="26">
        <v>-11.269</v>
      </c>
      <c r="I9" s="26">
        <v>-16.151</v>
      </c>
      <c r="J9" s="26">
        <v>-16.141000000000002</v>
      </c>
      <c r="K9" s="26">
        <v>-16.074000000000002</v>
      </c>
      <c r="L9" s="26">
        <v>-15.859</v>
      </c>
      <c r="M9" s="26">
        <v>-8.1710000000000012</v>
      </c>
      <c r="N9" s="26">
        <v>-7.8189999999999991</v>
      </c>
      <c r="O9" s="26">
        <v>-4.4120000000000008</v>
      </c>
      <c r="P9" s="93"/>
      <c r="Q9" s="28">
        <v>0.34160305343511466</v>
      </c>
    </row>
    <row r="10" spans="1:17" ht="15.75" thickBot="1">
      <c r="A10" s="92" t="s">
        <v>126</v>
      </c>
      <c r="B10" s="322">
        <v>10300.364</v>
      </c>
      <c r="C10" s="206">
        <v>10494.57</v>
      </c>
      <c r="D10" s="206">
        <v>10834.088</v>
      </c>
      <c r="E10" s="206">
        <v>10441.182000000001</v>
      </c>
      <c r="F10" s="206">
        <v>10580.39</v>
      </c>
      <c r="G10" s="206">
        <v>10548.284</v>
      </c>
      <c r="H10" s="206">
        <v>10341.138000000001</v>
      </c>
      <c r="I10" s="206">
        <v>10263.665000000001</v>
      </c>
      <c r="J10" s="206">
        <v>10256.769</v>
      </c>
      <c r="K10" s="206">
        <v>10164.161</v>
      </c>
      <c r="L10" s="206">
        <v>10114.215</v>
      </c>
      <c r="M10" s="206">
        <v>10537.758</v>
      </c>
      <c r="N10" s="206">
        <v>10600.388000000001</v>
      </c>
      <c r="O10" s="206">
        <v>10558.678</v>
      </c>
      <c r="P10" s="93"/>
      <c r="Q10" s="262">
        <v>-1.8505379448610103E-2</v>
      </c>
    </row>
    <row r="11" spans="1:17" ht="15.75" thickTop="1">
      <c r="A11" s="108"/>
      <c r="B11" s="26"/>
      <c r="C11" s="26"/>
      <c r="D11" s="26"/>
      <c r="E11" s="26"/>
      <c r="F11" s="26"/>
      <c r="G11" s="26"/>
      <c r="H11" s="26"/>
      <c r="I11" s="26"/>
      <c r="J11" s="26"/>
      <c r="K11" s="26"/>
      <c r="L11" s="26"/>
      <c r="M11" s="26"/>
      <c r="N11" s="26"/>
      <c r="O11" s="26"/>
      <c r="P11" s="93"/>
      <c r="Q11" s="93"/>
    </row>
    <row r="12" spans="1:17">
      <c r="A12" s="89" t="s">
        <v>169</v>
      </c>
      <c r="B12" s="240"/>
      <c r="C12" s="240"/>
      <c r="D12" s="240"/>
      <c r="E12" s="240"/>
      <c r="F12" s="240"/>
      <c r="G12" s="240"/>
      <c r="H12" s="240"/>
      <c r="I12" s="240"/>
      <c r="J12" s="240"/>
      <c r="K12" s="240"/>
      <c r="L12" s="240"/>
      <c r="M12" s="240"/>
      <c r="N12" s="240"/>
      <c r="O12" s="240"/>
      <c r="P12" s="80"/>
      <c r="Q12" s="80"/>
    </row>
    <row r="13" spans="1:17">
      <c r="A13" s="94" t="s">
        <v>170</v>
      </c>
      <c r="B13" s="26"/>
      <c r="C13" s="26"/>
      <c r="D13" s="26"/>
      <c r="E13" s="26"/>
      <c r="F13" s="26"/>
      <c r="G13" s="26"/>
      <c r="H13" s="26"/>
      <c r="I13" s="26"/>
      <c r="J13" s="26"/>
      <c r="K13" s="26"/>
      <c r="L13" s="26"/>
      <c r="M13" s="26"/>
      <c r="N13" s="26"/>
      <c r="O13" s="26"/>
      <c r="P13" s="93"/>
      <c r="Q13" s="93"/>
    </row>
    <row r="14" spans="1:17">
      <c r="A14" s="299" t="s">
        <v>501</v>
      </c>
      <c r="B14" s="175">
        <v>2124.4928690000006</v>
      </c>
      <c r="C14" s="26">
        <v>2070.9511880000005</v>
      </c>
      <c r="D14" s="26">
        <v>2075.4841130000004</v>
      </c>
      <c r="E14" s="26">
        <v>1937.0668539999997</v>
      </c>
      <c r="F14" s="26">
        <v>1937.4134950000002</v>
      </c>
      <c r="G14" s="26">
        <v>1803.3466850000004</v>
      </c>
      <c r="H14" s="30">
        <v>1798</v>
      </c>
      <c r="I14" s="30">
        <v>1564.8858630000004</v>
      </c>
      <c r="J14" s="30">
        <v>1598.45</v>
      </c>
      <c r="K14" s="30">
        <v>1548.0550000000001</v>
      </c>
      <c r="L14" s="30">
        <v>1540.3020000000001</v>
      </c>
      <c r="M14" s="30">
        <v>1494.568</v>
      </c>
      <c r="N14" s="30">
        <v>1546.079</v>
      </c>
      <c r="O14" s="30">
        <v>1545.521</v>
      </c>
      <c r="P14" s="75"/>
      <c r="Q14" s="28">
        <v>2.5853666329870129E-2</v>
      </c>
    </row>
    <row r="15" spans="1:17">
      <c r="A15" s="90" t="s">
        <v>171</v>
      </c>
      <c r="B15" s="175">
        <v>220</v>
      </c>
      <c r="C15" s="26">
        <v>220</v>
      </c>
      <c r="D15" s="26">
        <v>220</v>
      </c>
      <c r="E15" s="26">
        <v>220</v>
      </c>
      <c r="F15" s="26">
        <v>220</v>
      </c>
      <c r="G15" s="26">
        <v>220</v>
      </c>
      <c r="H15" s="26">
        <v>220</v>
      </c>
      <c r="I15" s="26">
        <v>228.25</v>
      </c>
      <c r="J15" s="26">
        <v>228.517</v>
      </c>
      <c r="K15" s="26">
        <v>220</v>
      </c>
      <c r="L15" s="26">
        <v>220</v>
      </c>
      <c r="M15" s="26">
        <v>220</v>
      </c>
      <c r="N15" s="26">
        <v>220</v>
      </c>
      <c r="O15" s="26">
        <v>220</v>
      </c>
      <c r="P15" s="93"/>
      <c r="Q15" s="28">
        <v>0</v>
      </c>
    </row>
    <row r="16" spans="1:17">
      <c r="A16" s="90" t="s">
        <v>172</v>
      </c>
      <c r="B16" s="175">
        <v>316.44499999999971</v>
      </c>
      <c r="C16" s="26">
        <v>311.67099999999982</v>
      </c>
      <c r="D16" s="26">
        <v>307.13799999999992</v>
      </c>
      <c r="E16" s="26">
        <v>321.75499999999965</v>
      </c>
      <c r="F16" s="26">
        <v>313.00900000000001</v>
      </c>
      <c r="G16" s="26">
        <v>300</v>
      </c>
      <c r="H16" s="26">
        <v>300</v>
      </c>
      <c r="I16" s="26">
        <v>300</v>
      </c>
      <c r="J16" s="26">
        <v>299.73299999999978</v>
      </c>
      <c r="K16" s="26">
        <v>299.99999999999977</v>
      </c>
      <c r="L16" s="26">
        <v>299.99999999999977</v>
      </c>
      <c r="M16" s="26">
        <v>300</v>
      </c>
      <c r="N16" s="26">
        <v>300.00000000000023</v>
      </c>
      <c r="O16" s="26">
        <v>300.00000000000023</v>
      </c>
      <c r="P16" s="93"/>
      <c r="Q16" s="28">
        <v>1.5317434089151349E-2</v>
      </c>
    </row>
    <row r="17" spans="1:17">
      <c r="A17" s="92" t="s">
        <v>500</v>
      </c>
      <c r="B17" s="177">
        <v>2660.9378690000003</v>
      </c>
      <c r="C17" s="30">
        <v>2602.6221880000003</v>
      </c>
      <c r="D17" s="30">
        <v>2602.6221130000004</v>
      </c>
      <c r="E17" s="30">
        <v>2478.8218539999993</v>
      </c>
      <c r="F17" s="30">
        <v>2470.4224950000003</v>
      </c>
      <c r="G17" s="30">
        <v>2323.3466850000004</v>
      </c>
      <c r="H17" s="30">
        <v>2318</v>
      </c>
      <c r="I17" s="30">
        <v>2093.1358630000004</v>
      </c>
      <c r="J17" s="30">
        <v>2126.6999999999998</v>
      </c>
      <c r="K17" s="30">
        <v>2068.0549999999998</v>
      </c>
      <c r="L17" s="30">
        <v>2060.3019999999997</v>
      </c>
      <c r="M17" s="30">
        <v>2014.568</v>
      </c>
      <c r="N17" s="30">
        <v>2066.0790000000002</v>
      </c>
      <c r="O17" s="30">
        <v>2065.5210000000002</v>
      </c>
      <c r="P17" s="93"/>
      <c r="Q17" s="28">
        <v>2.2406510352858035E-2</v>
      </c>
    </row>
    <row r="18" spans="1:17">
      <c r="A18" s="108" t="s">
        <v>469</v>
      </c>
      <c r="B18" s="175">
        <v>9061.3459999999995</v>
      </c>
      <c r="C18" s="26">
        <v>9255.5519999999997</v>
      </c>
      <c r="D18" s="26">
        <v>9172.3970000000008</v>
      </c>
      <c r="E18" s="26">
        <v>9113.3109999999997</v>
      </c>
      <c r="F18" s="26">
        <v>9252.5190000000002</v>
      </c>
      <c r="G18" s="26">
        <v>9220.4130000000005</v>
      </c>
      <c r="H18" s="26">
        <v>9013.2669999999998</v>
      </c>
      <c r="I18" s="26">
        <v>9252.7800000000007</v>
      </c>
      <c r="J18" s="26">
        <v>9245.884</v>
      </c>
      <c r="K18" s="26">
        <v>9153.2759999999998</v>
      </c>
      <c r="L18" s="26">
        <v>9103.33</v>
      </c>
      <c r="M18" s="26">
        <v>9522.27</v>
      </c>
      <c r="N18" s="26">
        <v>9584.9</v>
      </c>
      <c r="O18" s="26">
        <v>9543.19</v>
      </c>
      <c r="P18" s="93"/>
      <c r="Q18" s="28">
        <v>-2.0982649116984071E-2</v>
      </c>
    </row>
    <row r="19" spans="1:17">
      <c r="A19" s="108" t="s">
        <v>173</v>
      </c>
      <c r="B19" s="175">
        <v>0</v>
      </c>
      <c r="C19" s="26">
        <v>0</v>
      </c>
      <c r="D19" s="26">
        <v>0</v>
      </c>
      <c r="E19" s="26">
        <v>0</v>
      </c>
      <c r="F19" s="26">
        <v>0</v>
      </c>
      <c r="G19" s="26">
        <v>0</v>
      </c>
      <c r="H19" s="26">
        <v>0</v>
      </c>
      <c r="I19" s="26">
        <v>0</v>
      </c>
      <c r="J19" s="26">
        <v>0</v>
      </c>
      <c r="K19" s="26">
        <v>0</v>
      </c>
      <c r="L19" s="26">
        <v>0</v>
      </c>
      <c r="M19" s="26">
        <v>0</v>
      </c>
      <c r="N19" s="26">
        <v>0</v>
      </c>
      <c r="O19" s="26">
        <v>0</v>
      </c>
      <c r="P19" s="93"/>
      <c r="Q19" s="28" t="s">
        <v>620</v>
      </c>
    </row>
    <row r="20" spans="1:17">
      <c r="A20" s="108" t="s">
        <v>174</v>
      </c>
      <c r="B20" s="175">
        <v>1239.018</v>
      </c>
      <c r="C20" s="26">
        <v>1239.018</v>
      </c>
      <c r="D20" s="26">
        <v>1661.691</v>
      </c>
      <c r="E20" s="26">
        <v>1327.8710000000001</v>
      </c>
      <c r="F20" s="26">
        <v>1327.8710000000001</v>
      </c>
      <c r="G20" s="26">
        <v>1327.8710000000001</v>
      </c>
      <c r="H20" s="26">
        <v>1327.8710000000001</v>
      </c>
      <c r="I20" s="26">
        <v>1010.885</v>
      </c>
      <c r="J20" s="26">
        <v>1010.885</v>
      </c>
      <c r="K20" s="26">
        <v>1010.885</v>
      </c>
      <c r="L20" s="26">
        <v>1010.885</v>
      </c>
      <c r="M20" s="26">
        <v>1015.4880000000001</v>
      </c>
      <c r="N20" s="26">
        <v>1015.4880000000001</v>
      </c>
      <c r="O20" s="26">
        <v>1015.4880000000001</v>
      </c>
      <c r="P20" s="93"/>
      <c r="Q20" s="28">
        <v>0</v>
      </c>
    </row>
    <row r="21" spans="1:17">
      <c r="A21" s="94"/>
      <c r="B21" s="93"/>
      <c r="C21" s="93"/>
      <c r="D21" s="93"/>
      <c r="E21" s="93"/>
      <c r="F21" s="93"/>
      <c r="G21" s="93"/>
      <c r="H21" s="93"/>
      <c r="I21" s="93"/>
      <c r="J21" s="93"/>
      <c r="K21" s="93"/>
      <c r="L21" s="93"/>
      <c r="M21" s="93"/>
      <c r="N21" s="93"/>
      <c r="O21" s="93"/>
      <c r="P21" s="93"/>
      <c r="Q21" s="28"/>
    </row>
    <row r="22" spans="1:17">
      <c r="A22" s="94" t="s">
        <v>560</v>
      </c>
      <c r="B22" s="178">
        <v>0.20625417207135965</v>
      </c>
      <c r="C22" s="40">
        <v>0.19733548891902705</v>
      </c>
      <c r="D22" s="40">
        <v>0.19156980034398646</v>
      </c>
      <c r="E22" s="40">
        <v>0.185521790058608</v>
      </c>
      <c r="F22" s="40">
        <v>0.18311360469588314</v>
      </c>
      <c r="G22" s="40">
        <v>0.17100000000000001</v>
      </c>
      <c r="H22" s="40">
        <v>0.17399999999999999</v>
      </c>
      <c r="I22" s="40">
        <v>0.15246852388252491</v>
      </c>
      <c r="J22" s="40">
        <v>0.156</v>
      </c>
      <c r="K22" s="40">
        <v>0.14099999999999999</v>
      </c>
      <c r="L22" s="40">
        <v>0.152</v>
      </c>
      <c r="M22" s="40">
        <v>0.14182978894208503</v>
      </c>
      <c r="N22" s="40">
        <v>0.14585116561298522</v>
      </c>
      <c r="O22" s="40">
        <v>0.14637447940558862</v>
      </c>
      <c r="P22" s="93"/>
      <c r="Q22" s="28">
        <v>8.9186831523326016E-3</v>
      </c>
    </row>
    <row r="23" spans="1:17">
      <c r="A23" s="94" t="s">
        <v>561</v>
      </c>
      <c r="B23" s="178">
        <v>0.25833437481117899</v>
      </c>
      <c r="C23" s="40">
        <v>0.24799701939690907</v>
      </c>
      <c r="D23" s="40">
        <v>0.24022530234528189</v>
      </c>
      <c r="E23" s="40">
        <v>0.23740815482999197</v>
      </c>
      <c r="F23" s="40">
        <v>0.23349066647295513</v>
      </c>
      <c r="G23" s="40">
        <v>0.22</v>
      </c>
      <c r="H23" s="40">
        <v>0.224</v>
      </c>
      <c r="I23" s="40">
        <v>0.20393649330141905</v>
      </c>
      <c r="J23" s="40">
        <v>0.20699999999999999</v>
      </c>
      <c r="K23" s="40">
        <v>0.193</v>
      </c>
      <c r="L23" s="40">
        <v>0.20399999999999999</v>
      </c>
      <c r="M23" s="40">
        <v>0.19117614872623953</v>
      </c>
      <c r="N23" s="40">
        <v>0.19490597207420249</v>
      </c>
      <c r="O23" s="40">
        <v>0.19562306890447356</v>
      </c>
      <c r="P23" s="93"/>
      <c r="Q23" s="28">
        <v>1.0337355414269916E-2</v>
      </c>
    </row>
    <row r="24" spans="1:17">
      <c r="A24" s="94"/>
      <c r="B24" s="40"/>
      <c r="C24" s="40"/>
      <c r="D24" s="40"/>
      <c r="E24" s="40"/>
      <c r="F24" s="40"/>
      <c r="G24" s="40"/>
      <c r="H24" s="40"/>
      <c r="I24" s="40"/>
      <c r="J24" s="40"/>
      <c r="K24" s="40"/>
      <c r="L24" s="40"/>
      <c r="M24" s="40"/>
      <c r="N24" s="40"/>
      <c r="O24" s="40"/>
      <c r="P24" s="93"/>
      <c r="Q24" s="28"/>
    </row>
    <row r="25" spans="1:17">
      <c r="A25" s="92" t="s">
        <v>470</v>
      </c>
      <c r="B25" s="178">
        <v>0.38003798179365095</v>
      </c>
      <c r="C25" s="40">
        <v>0.3910019170468142</v>
      </c>
      <c r="D25" s="40">
        <v>0.4090868265551294</v>
      </c>
      <c r="E25" s="40">
        <v>0.40370965713970614</v>
      </c>
      <c r="F25" s="40">
        <v>0.41546847365263717</v>
      </c>
      <c r="G25" s="40">
        <v>0.42293502492895846</v>
      </c>
      <c r="H25" s="40">
        <v>0.38834738420306875</v>
      </c>
      <c r="I25" s="40">
        <v>0.38948866450057762</v>
      </c>
      <c r="J25" s="40">
        <v>0.39899301648640267</v>
      </c>
      <c r="K25" s="40">
        <v>0.40037183236857626</v>
      </c>
      <c r="L25" s="40">
        <v>0.3976555325510312</v>
      </c>
      <c r="M25" s="40">
        <v>0.40224996607106533</v>
      </c>
      <c r="N25" s="40">
        <v>0.41017249218428298</v>
      </c>
      <c r="O25" s="40">
        <v>0.42037455567526344</v>
      </c>
      <c r="P25" s="93"/>
      <c r="Q25" s="28">
        <v>-1.0963935253163248E-2</v>
      </c>
    </row>
    <row r="26" spans="1:17">
      <c r="A26" s="92" t="s">
        <v>544</v>
      </c>
      <c r="B26" s="178">
        <v>8.6999999999999994E-2</v>
      </c>
      <c r="C26" s="40">
        <v>8.5999999999999993E-2</v>
      </c>
      <c r="D26" s="40">
        <v>8.7999999999999995E-2</v>
      </c>
      <c r="E26" s="40">
        <v>8.4000000000000005E-2</v>
      </c>
      <c r="F26" s="40">
        <v>8.5999999999999993E-2</v>
      </c>
      <c r="G26" s="40">
        <v>8.2000000000000003E-2</v>
      </c>
      <c r="H26" s="40">
        <v>7.5999999999999998E-2</v>
      </c>
      <c r="I26" s="40">
        <v>6.9000000000000006E-2</v>
      </c>
      <c r="J26" s="40">
        <v>7.2999999999999995E-2</v>
      </c>
      <c r="K26" s="40">
        <v>7.0000000000000007E-2</v>
      </c>
      <c r="L26" s="40">
        <v>7.0000000000000007E-2</v>
      </c>
      <c r="M26" s="40">
        <v>6.6299999999999998E-2</v>
      </c>
      <c r="N26" s="40">
        <v>6.9199999999999998E-2</v>
      </c>
      <c r="O26" s="40">
        <v>7.1199999999999999E-2</v>
      </c>
      <c r="P26" s="93"/>
      <c r="Q26" s="28">
        <v>1.0000000000000009E-3</v>
      </c>
    </row>
    <row r="27" spans="1:17">
      <c r="A27" s="91"/>
      <c r="B27" s="91"/>
      <c r="C27" s="91"/>
      <c r="D27" s="91"/>
      <c r="E27" s="91"/>
      <c r="F27" s="91"/>
      <c r="G27" s="91"/>
      <c r="H27" s="91"/>
      <c r="I27" s="91"/>
      <c r="J27" s="91"/>
      <c r="K27" s="91"/>
      <c r="L27" s="91"/>
      <c r="M27" s="91"/>
      <c r="N27" s="91"/>
      <c r="O27" s="91"/>
      <c r="P27" s="93"/>
      <c r="Q27" s="93"/>
    </row>
    <row r="28" spans="1:17">
      <c r="A28" s="91"/>
      <c r="B28" s="91"/>
      <c r="C28" s="91"/>
      <c r="D28" s="91"/>
      <c r="E28" s="91"/>
      <c r="F28" s="91"/>
      <c r="G28" s="91"/>
      <c r="H28" s="91"/>
      <c r="I28" s="91"/>
      <c r="J28" s="91"/>
      <c r="K28" s="91"/>
      <c r="L28" s="91"/>
      <c r="M28" s="91"/>
      <c r="N28" s="91"/>
      <c r="O28" s="91"/>
      <c r="P28" s="96"/>
      <c r="Q28" s="96"/>
    </row>
    <row r="29" spans="1:17" ht="24.75" customHeight="1">
      <c r="A29" s="326" t="s">
        <v>574</v>
      </c>
      <c r="B29" s="326"/>
      <c r="C29" s="326"/>
      <c r="D29" s="326"/>
      <c r="E29" s="326"/>
      <c r="F29" s="326"/>
      <c r="G29" s="326"/>
      <c r="H29" s="326"/>
      <c r="I29" s="326"/>
      <c r="J29" s="326"/>
      <c r="K29" s="326"/>
      <c r="L29" s="326"/>
      <c r="M29" s="326"/>
      <c r="N29" s="326"/>
      <c r="O29" s="326"/>
      <c r="P29" s="326"/>
      <c r="Q29" s="326"/>
    </row>
    <row r="30" spans="1:17" ht="18.75" customHeight="1">
      <c r="A30" s="326" t="s">
        <v>512</v>
      </c>
      <c r="B30" s="326"/>
      <c r="C30" s="326"/>
      <c r="D30" s="326"/>
      <c r="E30" s="326"/>
      <c r="F30" s="326"/>
      <c r="G30" s="326"/>
      <c r="H30" s="326"/>
      <c r="I30" s="326"/>
      <c r="J30" s="326"/>
      <c r="K30" s="326"/>
      <c r="L30" s="326"/>
      <c r="M30" s="326"/>
      <c r="N30" s="326"/>
      <c r="O30" s="326"/>
      <c r="P30" s="326"/>
      <c r="Q30" s="326"/>
    </row>
    <row r="31" spans="1:17" ht="23.25" customHeight="1">
      <c r="A31" s="326" t="s">
        <v>195</v>
      </c>
      <c r="B31" s="326"/>
      <c r="C31" s="326"/>
      <c r="D31" s="326"/>
      <c r="E31" s="326"/>
      <c r="F31" s="326"/>
      <c r="G31" s="326"/>
      <c r="H31" s="326"/>
      <c r="I31" s="326"/>
      <c r="J31" s="326"/>
      <c r="K31" s="326"/>
      <c r="L31" s="326"/>
      <c r="M31" s="326"/>
      <c r="N31" s="326"/>
      <c r="O31" s="326"/>
      <c r="P31" s="326"/>
      <c r="Q31" s="326"/>
    </row>
    <row r="32" spans="1:17" ht="21.75" customHeight="1">
      <c r="A32" s="326" t="s">
        <v>400</v>
      </c>
      <c r="B32" s="326"/>
      <c r="C32" s="326"/>
      <c r="D32" s="326"/>
      <c r="E32" s="326"/>
      <c r="F32" s="326"/>
      <c r="G32" s="326"/>
      <c r="H32" s="326"/>
      <c r="I32" s="326"/>
      <c r="J32" s="326"/>
      <c r="K32" s="326"/>
      <c r="L32" s="326"/>
      <c r="M32" s="326"/>
      <c r="N32" s="326"/>
      <c r="O32" s="326"/>
      <c r="P32" s="326"/>
      <c r="Q32" s="326"/>
    </row>
    <row r="33" spans="1:18" ht="21.75" customHeight="1">
      <c r="A33" s="326" t="s">
        <v>545</v>
      </c>
      <c r="B33" s="326"/>
      <c r="C33" s="326"/>
      <c r="D33" s="326"/>
      <c r="E33" s="326"/>
      <c r="F33" s="326"/>
      <c r="G33" s="326"/>
      <c r="H33" s="326"/>
      <c r="I33" s="326"/>
      <c r="J33" s="326"/>
      <c r="K33" s="326"/>
      <c r="L33" s="326"/>
      <c r="M33" s="326"/>
      <c r="N33" s="326"/>
      <c r="O33" s="326"/>
      <c r="P33" s="326"/>
      <c r="Q33" s="326"/>
    </row>
    <row r="34" spans="1:18" ht="68.25" customHeight="1">
      <c r="A34" s="326" t="s">
        <v>578</v>
      </c>
      <c r="B34" s="326"/>
      <c r="C34" s="326"/>
      <c r="D34" s="326"/>
      <c r="E34" s="326"/>
      <c r="F34" s="326"/>
      <c r="G34" s="326"/>
      <c r="H34" s="326"/>
      <c r="I34" s="326"/>
      <c r="J34" s="326"/>
      <c r="K34" s="326"/>
      <c r="L34" s="326"/>
      <c r="M34" s="326"/>
      <c r="N34" s="326"/>
      <c r="O34" s="326"/>
      <c r="P34" s="326"/>
      <c r="Q34" s="326"/>
    </row>
    <row r="35" spans="1:18" ht="32.25" customHeight="1">
      <c r="A35" s="326" t="s">
        <v>538</v>
      </c>
      <c r="B35" s="326"/>
      <c r="C35" s="326"/>
      <c r="D35" s="326"/>
      <c r="E35" s="326"/>
      <c r="F35" s="326"/>
      <c r="G35" s="326"/>
      <c r="H35" s="326"/>
      <c r="I35" s="326"/>
      <c r="J35" s="326"/>
      <c r="K35" s="326"/>
      <c r="L35" s="326"/>
      <c r="M35" s="326"/>
      <c r="N35" s="326"/>
      <c r="O35" s="326"/>
      <c r="P35" s="326"/>
      <c r="Q35" s="326"/>
      <c r="R35" s="310"/>
    </row>
    <row r="36" spans="1:18" ht="23.25" customHeight="1">
      <c r="A36" s="326" t="s">
        <v>539</v>
      </c>
      <c r="B36" s="326"/>
      <c r="C36" s="326"/>
      <c r="D36" s="326"/>
      <c r="E36" s="326"/>
      <c r="F36" s="326"/>
      <c r="G36" s="326"/>
      <c r="H36" s="326"/>
      <c r="I36" s="326"/>
      <c r="J36" s="326"/>
      <c r="K36" s="326"/>
      <c r="L36" s="326"/>
      <c r="M36" s="326"/>
      <c r="N36" s="326"/>
      <c r="O36" s="326"/>
      <c r="P36" s="326"/>
      <c r="Q36" s="326"/>
    </row>
    <row r="37" spans="1:18" ht="39" customHeight="1">
      <c r="A37" s="326" t="s">
        <v>540</v>
      </c>
      <c r="B37" s="326"/>
      <c r="C37" s="326"/>
      <c r="D37" s="326"/>
      <c r="E37" s="326"/>
      <c r="F37" s="326"/>
      <c r="G37" s="326"/>
      <c r="H37" s="326"/>
      <c r="I37" s="326"/>
      <c r="J37" s="326"/>
      <c r="K37" s="326"/>
      <c r="L37" s="326"/>
      <c r="M37" s="326"/>
      <c r="N37" s="326"/>
      <c r="O37" s="326"/>
      <c r="P37" s="326"/>
      <c r="Q37" s="326"/>
    </row>
    <row r="38" spans="1:18" ht="33.75" customHeight="1">
      <c r="A38" s="326" t="s">
        <v>616</v>
      </c>
      <c r="B38" s="326"/>
      <c r="C38" s="326"/>
      <c r="D38" s="326"/>
      <c r="E38" s="326"/>
      <c r="F38" s="326"/>
      <c r="G38" s="326"/>
      <c r="H38" s="326"/>
      <c r="I38" s="326"/>
      <c r="J38" s="326"/>
      <c r="K38" s="326"/>
      <c r="L38" s="326"/>
      <c r="M38" s="326"/>
      <c r="N38" s="326"/>
      <c r="O38" s="326"/>
      <c r="P38" s="326"/>
      <c r="Q38" s="326"/>
    </row>
    <row r="39" spans="1:18" ht="41.25" customHeight="1">
      <c r="A39" s="326" t="s">
        <v>537</v>
      </c>
      <c r="B39" s="326"/>
      <c r="C39" s="326"/>
      <c r="D39" s="326"/>
      <c r="E39" s="326"/>
      <c r="F39" s="326"/>
      <c r="G39" s="326"/>
      <c r="H39" s="326"/>
      <c r="I39" s="326"/>
      <c r="J39" s="326"/>
      <c r="K39" s="326"/>
      <c r="L39" s="326"/>
      <c r="M39" s="326"/>
      <c r="N39" s="326"/>
      <c r="O39" s="326"/>
      <c r="P39" s="296"/>
      <c r="Q39" s="296"/>
    </row>
    <row r="40" spans="1:18" ht="51.75" customHeight="1">
      <c r="A40" s="326" t="s">
        <v>576</v>
      </c>
      <c r="B40" s="326"/>
      <c r="C40" s="326"/>
      <c r="D40" s="326"/>
      <c r="E40" s="326"/>
      <c r="F40" s="326"/>
      <c r="G40" s="326"/>
      <c r="H40" s="326"/>
      <c r="I40" s="326"/>
      <c r="J40" s="326"/>
      <c r="K40" s="326"/>
      <c r="L40" s="326"/>
      <c r="M40" s="326"/>
      <c r="N40" s="326"/>
      <c r="O40" s="326"/>
      <c r="P40" s="296"/>
      <c r="Q40" s="296"/>
    </row>
    <row r="41" spans="1:18" ht="38.25" customHeight="1">
      <c r="A41" s="326" t="s">
        <v>577</v>
      </c>
      <c r="B41" s="326"/>
      <c r="C41" s="326"/>
      <c r="D41" s="326"/>
      <c r="E41" s="326"/>
      <c r="F41" s="326"/>
      <c r="G41" s="326"/>
      <c r="H41" s="326"/>
      <c r="I41" s="326"/>
      <c r="J41" s="326"/>
      <c r="K41" s="326"/>
      <c r="L41" s="326"/>
      <c r="M41" s="326"/>
      <c r="N41" s="326"/>
      <c r="O41" s="326"/>
      <c r="P41" s="296"/>
      <c r="Q41" s="296"/>
    </row>
    <row r="42" spans="1:18" ht="63" customHeight="1">
      <c r="A42" s="326" t="s">
        <v>579</v>
      </c>
      <c r="B42" s="326"/>
      <c r="C42" s="326"/>
      <c r="D42" s="326"/>
      <c r="E42" s="326"/>
      <c r="F42" s="326"/>
      <c r="G42" s="326"/>
      <c r="H42" s="326"/>
      <c r="I42" s="326"/>
      <c r="J42" s="326"/>
      <c r="K42" s="326"/>
      <c r="L42" s="326"/>
      <c r="M42" s="326"/>
      <c r="N42" s="326"/>
      <c r="O42" s="326"/>
      <c r="P42" s="296"/>
      <c r="Q42" s="296"/>
    </row>
    <row r="43" spans="1:18" ht="33" customHeight="1">
      <c r="A43" s="326" t="s">
        <v>617</v>
      </c>
      <c r="B43" s="326"/>
      <c r="C43" s="326"/>
      <c r="D43" s="326"/>
      <c r="E43" s="326"/>
      <c r="F43" s="326"/>
      <c r="G43" s="326"/>
      <c r="H43" s="326"/>
      <c r="I43" s="326"/>
      <c r="J43" s="326"/>
      <c r="K43" s="326"/>
      <c r="L43" s="326"/>
      <c r="M43" s="326"/>
      <c r="N43" s="326"/>
      <c r="O43" s="326"/>
      <c r="P43" s="296"/>
      <c r="Q43" s="296"/>
    </row>
    <row r="44" spans="1:18" ht="51.75" customHeight="1">
      <c r="A44" s="326" t="s">
        <v>618</v>
      </c>
      <c r="B44" s="326"/>
      <c r="C44" s="326"/>
      <c r="D44" s="326"/>
      <c r="E44" s="326"/>
      <c r="F44" s="326"/>
      <c r="G44" s="326"/>
      <c r="H44" s="326"/>
      <c r="I44" s="326"/>
      <c r="J44" s="326"/>
      <c r="K44" s="326"/>
      <c r="L44" s="326"/>
      <c r="M44" s="326"/>
      <c r="N44" s="326"/>
      <c r="O44" s="326"/>
    </row>
    <row r="45" spans="1:18" ht="53.25" customHeight="1">
      <c r="A45" s="326" t="s">
        <v>710</v>
      </c>
      <c r="B45" s="326"/>
      <c r="C45" s="326"/>
      <c r="D45" s="326"/>
      <c r="E45" s="326"/>
      <c r="F45" s="326"/>
      <c r="G45" s="326"/>
      <c r="H45" s="326"/>
      <c r="I45" s="326"/>
      <c r="J45" s="326"/>
      <c r="K45" s="326"/>
      <c r="L45" s="326"/>
      <c r="M45" s="326"/>
      <c r="N45" s="326"/>
      <c r="O45" s="326"/>
    </row>
  </sheetData>
  <sheetProtection formatCells="0" formatColumns="0" formatRows="0" insertColumns="0" insertRows="0" insertHyperlinks="0" deleteColumns="0" deleteRows="0" sort="0" autoFilter="0" pivotTables="0"/>
  <mergeCells count="17">
    <mergeCell ref="A29:Q29"/>
    <mergeCell ref="A30:Q30"/>
    <mergeCell ref="A31:Q31"/>
    <mergeCell ref="A34:Q34"/>
    <mergeCell ref="A32:Q32"/>
    <mergeCell ref="A33:Q33"/>
    <mergeCell ref="A35:Q35"/>
    <mergeCell ref="A39:O39"/>
    <mergeCell ref="A36:Q36"/>
    <mergeCell ref="A37:Q37"/>
    <mergeCell ref="A38:Q38"/>
    <mergeCell ref="A40:O40"/>
    <mergeCell ref="A45:O45"/>
    <mergeCell ref="A43:O43"/>
    <mergeCell ref="A44:O44"/>
    <mergeCell ref="A42:O42"/>
    <mergeCell ref="A41:O41"/>
  </mergeCells>
  <pageMargins left="0.70866141732283472" right="0.70866141732283472" top="0.74803149606299213" bottom="0.74803149606299213" header="0.31496062992125984" footer="0.31496062992125984"/>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showGridLines="0" tabSelected="1" topLeftCell="A19" zoomScale="110" zoomScaleNormal="110" workbookViewId="0">
      <selection activeCell="A23" sqref="A23"/>
    </sheetView>
  </sheetViews>
  <sheetFormatPr defaultRowHeight="15"/>
  <cols>
    <col min="1" max="1" width="50.140625" customWidth="1"/>
    <col min="2" max="2" width="98.7109375" customWidth="1"/>
  </cols>
  <sheetData>
    <row r="1" spans="1:2">
      <c r="A1" s="334" t="s">
        <v>194</v>
      </c>
      <c r="B1" s="334"/>
    </row>
    <row r="2" spans="1:2" ht="29.25" customHeight="1">
      <c r="A2" s="188" t="s">
        <v>431</v>
      </c>
      <c r="B2" s="189" t="s">
        <v>432</v>
      </c>
    </row>
    <row r="3" spans="1:2" ht="80.25" customHeight="1">
      <c r="A3" s="188" t="s">
        <v>424</v>
      </c>
      <c r="B3" s="189" t="s">
        <v>422</v>
      </c>
    </row>
    <row r="4" spans="1:2" ht="48">
      <c r="A4" s="188" t="s">
        <v>408</v>
      </c>
      <c r="B4" s="189" t="s">
        <v>423</v>
      </c>
    </row>
    <row r="5" spans="1:2" ht="25.5" customHeight="1">
      <c r="A5" s="188" t="s">
        <v>290</v>
      </c>
      <c r="B5" s="189" t="s">
        <v>425</v>
      </c>
    </row>
    <row r="6" spans="1:2" ht="27.75" customHeight="1">
      <c r="A6" s="188" t="s">
        <v>433</v>
      </c>
      <c r="B6" s="189" t="s">
        <v>434</v>
      </c>
    </row>
    <row r="7" spans="1:2" ht="30.75" customHeight="1">
      <c r="A7" s="188" t="s">
        <v>311</v>
      </c>
      <c r="B7" s="189" t="s">
        <v>341</v>
      </c>
    </row>
    <row r="8" spans="1:2" ht="32.25" customHeight="1">
      <c r="A8" s="188" t="s">
        <v>326</v>
      </c>
      <c r="B8" s="189" t="s">
        <v>342</v>
      </c>
    </row>
    <row r="9" spans="1:2" ht="18" customHeight="1">
      <c r="A9" s="188" t="s">
        <v>347</v>
      </c>
      <c r="B9" s="189" t="s">
        <v>348</v>
      </c>
    </row>
    <row r="10" spans="1:2" ht="20.25" customHeight="1">
      <c r="A10" s="188" t="s">
        <v>215</v>
      </c>
      <c r="B10" s="189" t="s">
        <v>312</v>
      </c>
    </row>
    <row r="11" spans="1:2" ht="21" customHeight="1">
      <c r="A11" s="188" t="s">
        <v>216</v>
      </c>
      <c r="B11" s="189" t="s">
        <v>327</v>
      </c>
    </row>
    <row r="12" spans="1:2" ht="54" customHeight="1">
      <c r="A12" s="188" t="s">
        <v>350</v>
      </c>
      <c r="B12" s="189" t="s">
        <v>356</v>
      </c>
    </row>
    <row r="13" spans="1:2" ht="39.75" customHeight="1">
      <c r="A13" s="188" t="s">
        <v>349</v>
      </c>
      <c r="B13" s="189" t="s">
        <v>351</v>
      </c>
    </row>
    <row r="14" spans="1:2" ht="45" customHeight="1">
      <c r="A14" s="188" t="s">
        <v>435</v>
      </c>
      <c r="B14" s="189" t="s">
        <v>436</v>
      </c>
    </row>
    <row r="15" spans="1:2" ht="21" customHeight="1">
      <c r="A15" s="188" t="s">
        <v>358</v>
      </c>
      <c r="B15" s="189" t="s">
        <v>360</v>
      </c>
    </row>
    <row r="16" spans="1:2" ht="18.75" customHeight="1">
      <c r="A16" s="188" t="s">
        <v>359</v>
      </c>
      <c r="B16" s="189" t="s">
        <v>361</v>
      </c>
    </row>
    <row r="17" spans="1:2" ht="18" customHeight="1">
      <c r="A17" s="188" t="s">
        <v>300</v>
      </c>
      <c r="B17" s="188" t="s">
        <v>301</v>
      </c>
    </row>
    <row r="18" spans="1:2" ht="213" customHeight="1">
      <c r="A18" s="237" t="s">
        <v>191</v>
      </c>
      <c r="B18" s="189" t="s">
        <v>639</v>
      </c>
    </row>
    <row r="19" spans="1:2" ht="28.5" customHeight="1">
      <c r="A19" s="189" t="s">
        <v>129</v>
      </c>
      <c r="B19" s="189" t="s">
        <v>328</v>
      </c>
    </row>
    <row r="20" spans="1:2" ht="30.75" customHeight="1">
      <c r="A20" s="189" t="s">
        <v>204</v>
      </c>
      <c r="B20" s="189" t="s">
        <v>409</v>
      </c>
    </row>
    <row r="21" spans="1:2" ht="42" customHeight="1">
      <c r="A21" s="188" t="s">
        <v>313</v>
      </c>
      <c r="B21" s="189" t="s">
        <v>410</v>
      </c>
    </row>
    <row r="22" spans="1:2" ht="43.5" customHeight="1">
      <c r="A22" s="188" t="s">
        <v>426</v>
      </c>
      <c r="B22" s="189" t="s">
        <v>427</v>
      </c>
    </row>
    <row r="23" spans="1:2" ht="81" customHeight="1">
      <c r="A23" s="188" t="s">
        <v>329</v>
      </c>
      <c r="B23" s="189" t="s">
        <v>505</v>
      </c>
    </row>
    <row r="24" spans="1:2" ht="32.25" customHeight="1">
      <c r="A24" s="188" t="s">
        <v>330</v>
      </c>
      <c r="B24" s="189" t="s">
        <v>411</v>
      </c>
    </row>
    <row r="25" spans="1:2" ht="28.5" customHeight="1">
      <c r="A25" s="188" t="s">
        <v>217</v>
      </c>
      <c r="B25" s="189" t="s">
        <v>331</v>
      </c>
    </row>
    <row r="26" spans="1:2" ht="31.5" customHeight="1">
      <c r="A26" s="188" t="s">
        <v>249</v>
      </c>
      <c r="B26" s="189" t="s">
        <v>428</v>
      </c>
    </row>
    <row r="27" spans="1:2" ht="54" customHeight="1">
      <c r="A27" s="188" t="s">
        <v>314</v>
      </c>
      <c r="B27" s="189" t="s">
        <v>363</v>
      </c>
    </row>
    <row r="28" spans="1:2" ht="48">
      <c r="A28" s="188" t="s">
        <v>291</v>
      </c>
      <c r="B28" s="189" t="s">
        <v>412</v>
      </c>
    </row>
    <row r="29" spans="1:2" ht="57" customHeight="1">
      <c r="A29" s="188" t="s">
        <v>315</v>
      </c>
      <c r="B29" s="189" t="s">
        <v>429</v>
      </c>
    </row>
    <row r="30" spans="1:2" ht="337.5" customHeight="1">
      <c r="A30" s="188" t="s">
        <v>192</v>
      </c>
      <c r="B30" s="189" t="s">
        <v>453</v>
      </c>
    </row>
    <row r="31" spans="1:2" ht="30.75" customHeight="1">
      <c r="A31" s="188" t="s">
        <v>316</v>
      </c>
      <c r="B31" s="188" t="s">
        <v>332</v>
      </c>
    </row>
    <row r="32" spans="1:2" ht="21.75" customHeight="1">
      <c r="A32" s="188" t="s">
        <v>218</v>
      </c>
      <c r="B32" s="188" t="s">
        <v>333</v>
      </c>
    </row>
    <row r="33" spans="1:2" ht="53.25" customHeight="1">
      <c r="A33" s="188" t="s">
        <v>343</v>
      </c>
      <c r="B33" s="188" t="s">
        <v>480</v>
      </c>
    </row>
    <row r="34" spans="1:2" ht="41.25" customHeight="1">
      <c r="A34" s="188" t="s">
        <v>193</v>
      </c>
      <c r="B34" s="188" t="s">
        <v>413</v>
      </c>
    </row>
    <row r="35" spans="1:2" ht="42" customHeight="1">
      <c r="A35" s="188" t="s">
        <v>302</v>
      </c>
      <c r="B35" s="188" t="s">
        <v>334</v>
      </c>
    </row>
    <row r="36" spans="1:2" ht="30.75" customHeight="1">
      <c r="A36" s="188" t="s">
        <v>317</v>
      </c>
      <c r="B36" s="188" t="s">
        <v>335</v>
      </c>
    </row>
    <row r="37" spans="1:2" ht="69" customHeight="1">
      <c r="A37" s="188" t="s">
        <v>374</v>
      </c>
      <c r="B37" s="188" t="s">
        <v>384</v>
      </c>
    </row>
    <row r="38" spans="1:2" ht="30" customHeight="1">
      <c r="A38" s="188" t="s">
        <v>353</v>
      </c>
      <c r="B38" s="188" t="s">
        <v>365</v>
      </c>
    </row>
    <row r="39" spans="1:2" ht="67.5" customHeight="1">
      <c r="A39" s="188" t="s">
        <v>354</v>
      </c>
      <c r="B39" s="189" t="s">
        <v>372</v>
      </c>
    </row>
    <row r="40" spans="1:2" ht="44.25" customHeight="1">
      <c r="A40" s="188" t="s">
        <v>437</v>
      </c>
      <c r="B40" s="189" t="s">
        <v>438</v>
      </c>
    </row>
    <row r="41" spans="1:2" ht="43.5" customHeight="1">
      <c r="A41" s="188" t="s">
        <v>440</v>
      </c>
      <c r="B41" s="189" t="s">
        <v>441</v>
      </c>
    </row>
    <row r="42" spans="1:2" ht="30" customHeight="1">
      <c r="A42" s="188" t="s">
        <v>414</v>
      </c>
      <c r="B42" s="188" t="s">
        <v>336</v>
      </c>
    </row>
    <row r="43" spans="1:2" ht="31.5" customHeight="1">
      <c r="A43" s="188" t="s">
        <v>415</v>
      </c>
      <c r="B43" s="189" t="s">
        <v>439</v>
      </c>
    </row>
    <row r="44" spans="1:2" ht="87.75" customHeight="1">
      <c r="A44" s="188" t="s">
        <v>318</v>
      </c>
      <c r="B44" s="188" t="s">
        <v>506</v>
      </c>
    </row>
    <row r="45" spans="1:2" ht="27" customHeight="1">
      <c r="A45" s="188" t="s">
        <v>319</v>
      </c>
      <c r="B45" s="188" t="s">
        <v>303</v>
      </c>
    </row>
    <row r="46" spans="1:2" ht="27" customHeight="1">
      <c r="A46" s="188" t="s">
        <v>624</v>
      </c>
      <c r="B46" s="188" t="s">
        <v>627</v>
      </c>
    </row>
    <row r="47" spans="1:2" ht="39.75" customHeight="1">
      <c r="A47" s="188" t="s">
        <v>375</v>
      </c>
      <c r="B47" s="188" t="s">
        <v>529</v>
      </c>
    </row>
    <row r="48" spans="1:2" ht="51.75" customHeight="1">
      <c r="A48" s="188" t="s">
        <v>530</v>
      </c>
      <c r="B48" s="188" t="s">
        <v>531</v>
      </c>
    </row>
    <row r="49" spans="1:2" ht="24.75" customHeight="1">
      <c r="A49" s="188" t="s">
        <v>442</v>
      </c>
      <c r="B49" s="188" t="s">
        <v>443</v>
      </c>
    </row>
    <row r="50" spans="1:2" ht="32.25" customHeight="1">
      <c r="A50" s="188" t="s">
        <v>416</v>
      </c>
      <c r="B50" s="188" t="s">
        <v>417</v>
      </c>
    </row>
    <row r="51" spans="1:2" ht="41.25" customHeight="1">
      <c r="A51" s="188" t="s">
        <v>519</v>
      </c>
      <c r="B51" s="188" t="s">
        <v>532</v>
      </c>
    </row>
    <row r="52" spans="1:2" ht="52.5" customHeight="1">
      <c r="A52" s="188" t="s">
        <v>520</v>
      </c>
      <c r="B52" s="188" t="s">
        <v>533</v>
      </c>
    </row>
    <row r="53" spans="1:2" ht="35.25" customHeight="1">
      <c r="A53" s="188" t="s">
        <v>94</v>
      </c>
      <c r="B53" s="188" t="s">
        <v>344</v>
      </c>
    </row>
    <row r="54" spans="1:2" ht="180">
      <c r="A54" s="265" t="s">
        <v>50</v>
      </c>
      <c r="B54" s="188" t="s">
        <v>640</v>
      </c>
    </row>
    <row r="55" spans="1:2" ht="19.5" customHeight="1">
      <c r="A55" s="188" t="s">
        <v>337</v>
      </c>
      <c r="B55" s="188" t="s">
        <v>320</v>
      </c>
    </row>
    <row r="56" spans="1:2" ht="36">
      <c r="A56" s="188" t="s">
        <v>321</v>
      </c>
      <c r="B56" s="188" t="s">
        <v>430</v>
      </c>
    </row>
    <row r="57" spans="1:2" ht="30" customHeight="1">
      <c r="A57" s="188" t="s">
        <v>338</v>
      </c>
      <c r="B57" s="188" t="s">
        <v>418</v>
      </c>
    </row>
    <row r="58" spans="1:2" ht="58.5" customHeight="1">
      <c r="A58" s="188" t="s">
        <v>339</v>
      </c>
      <c r="B58" s="188" t="s">
        <v>322</v>
      </c>
    </row>
    <row r="59" spans="1:2" ht="26.25" customHeight="1">
      <c r="A59" s="188" t="s">
        <v>323</v>
      </c>
      <c r="B59" s="188" t="s">
        <v>304</v>
      </c>
    </row>
  </sheetData>
  <mergeCells count="1">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topLeftCell="A2" zoomScaleNormal="100" workbookViewId="0">
      <selection activeCell="A2" sqref="A2"/>
    </sheetView>
  </sheetViews>
  <sheetFormatPr defaultColWidth="9.140625" defaultRowHeight="12"/>
  <cols>
    <col min="1" max="1" width="143.140625" style="170" customWidth="1"/>
    <col min="2" max="16384" width="9.140625" style="170"/>
  </cols>
  <sheetData>
    <row r="1" spans="1:1" ht="15">
      <c r="A1" s="171" t="s">
        <v>41</v>
      </c>
    </row>
    <row r="2" spans="1:1" ht="247.5" customHeight="1">
      <c r="A2" s="275" t="s">
        <v>521</v>
      </c>
    </row>
  </sheetData>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5"/>
  <sheetViews>
    <sheetView zoomScaleNormal="100" workbookViewId="0">
      <pane ySplit="2" topLeftCell="A3" activePane="bottomLeft" state="frozen"/>
      <selection pane="bottomLeft" activeCell="A2" sqref="A2"/>
    </sheetView>
  </sheetViews>
  <sheetFormatPr defaultColWidth="9.140625" defaultRowHeight="15"/>
  <cols>
    <col min="1" max="1" width="49.5703125" style="18" customWidth="1"/>
    <col min="2" max="15" width="9.42578125" style="18" customWidth="1"/>
    <col min="16" max="16" width="4.5703125" style="18" customWidth="1"/>
    <col min="17" max="17" width="9.140625" style="18"/>
    <col min="18" max="18" width="9.85546875" style="18" bestFit="1" customWidth="1"/>
    <col min="19" max="19" width="4.5703125" style="18" customWidth="1"/>
    <col min="20" max="20" width="13.5703125" style="18" customWidth="1"/>
    <col min="21" max="21" width="13.140625" style="18" customWidth="1"/>
    <col min="22" max="22" width="5.140625" style="18" customWidth="1"/>
    <col min="23" max="16384" width="9.140625" style="18"/>
  </cols>
  <sheetData>
    <row r="1" spans="1:27">
      <c r="A1" s="16" t="s">
        <v>42</v>
      </c>
      <c r="B1" s="16"/>
      <c r="C1" s="16"/>
      <c r="D1" s="16"/>
      <c r="E1" s="16"/>
      <c r="F1" s="16"/>
      <c r="G1" s="16"/>
      <c r="H1" s="16"/>
      <c r="I1" s="16"/>
      <c r="J1" s="16"/>
      <c r="K1" s="16"/>
      <c r="L1" s="16"/>
      <c r="M1" s="16"/>
      <c r="N1" s="16"/>
      <c r="O1" s="16"/>
      <c r="P1" s="17"/>
      <c r="Q1" s="17"/>
      <c r="R1" s="17"/>
      <c r="S1" s="17"/>
      <c r="T1" s="17"/>
      <c r="U1" s="17"/>
      <c r="V1" s="154"/>
    </row>
    <row r="2" spans="1:27" ht="37.5" customHeight="1">
      <c r="A2" s="19" t="s">
        <v>43</v>
      </c>
      <c r="B2" s="20" t="s">
        <v>629</v>
      </c>
      <c r="C2" s="20" t="s">
        <v>606</v>
      </c>
      <c r="D2" s="20" t="s">
        <v>593</v>
      </c>
      <c r="E2" s="20" t="s">
        <v>550</v>
      </c>
      <c r="F2" s="20" t="s">
        <v>524</v>
      </c>
      <c r="G2" s="20" t="s">
        <v>513</v>
      </c>
      <c r="H2" s="20" t="s">
        <v>502</v>
      </c>
      <c r="I2" s="20" t="s">
        <v>419</v>
      </c>
      <c r="J2" s="20" t="s">
        <v>401</v>
      </c>
      <c r="K2" s="20" t="s">
        <v>387</v>
      </c>
      <c r="L2" s="20" t="s">
        <v>482</v>
      </c>
      <c r="M2" s="20" t="s">
        <v>483</v>
      </c>
      <c r="N2" s="20" t="s">
        <v>484</v>
      </c>
      <c r="O2" s="20" t="s">
        <v>485</v>
      </c>
      <c r="P2" s="20"/>
      <c r="Q2" s="20" t="s">
        <v>630</v>
      </c>
      <c r="R2" s="20" t="s">
        <v>525</v>
      </c>
      <c r="S2" s="20"/>
      <c r="T2" s="257" t="s">
        <v>631</v>
      </c>
      <c r="U2" s="257" t="s">
        <v>632</v>
      </c>
      <c r="V2" s="154"/>
    </row>
    <row r="3" spans="1:27">
      <c r="A3" s="21" t="s">
        <v>1</v>
      </c>
      <c r="B3" s="21"/>
      <c r="C3" s="21"/>
      <c r="D3" s="21"/>
      <c r="E3" s="21"/>
      <c r="F3" s="21"/>
      <c r="G3" s="21"/>
      <c r="H3" s="21"/>
      <c r="I3" s="21"/>
      <c r="J3" s="21"/>
      <c r="K3" s="21"/>
      <c r="L3" s="21"/>
      <c r="M3" s="21"/>
      <c r="N3" s="21"/>
      <c r="O3" s="21"/>
      <c r="P3" s="22"/>
      <c r="Q3" s="22"/>
      <c r="R3" s="22"/>
      <c r="S3" s="22"/>
      <c r="T3" s="22"/>
      <c r="U3" s="22"/>
      <c r="V3" s="154"/>
      <c r="X3" s="190"/>
      <c r="Y3" s="190"/>
      <c r="Z3" s="190"/>
      <c r="AA3" s="190"/>
    </row>
    <row r="4" spans="1:27">
      <c r="A4" s="25" t="s">
        <v>213</v>
      </c>
      <c r="B4" s="175">
        <v>210.393</v>
      </c>
      <c r="C4" s="26">
        <v>222.50700000000001</v>
      </c>
      <c r="D4" s="26">
        <v>239.28</v>
      </c>
      <c r="E4" s="26">
        <v>250.93799999999999</v>
      </c>
      <c r="F4" s="26">
        <v>253.28399999999999</v>
      </c>
      <c r="G4" s="26">
        <v>266.54199999999997</v>
      </c>
      <c r="H4" s="26">
        <v>271.55599999999998</v>
      </c>
      <c r="I4" s="26">
        <v>257.42500000000001</v>
      </c>
      <c r="J4" s="26">
        <v>228.119</v>
      </c>
      <c r="K4" s="26">
        <v>186.63200000000001</v>
      </c>
      <c r="L4" s="26">
        <v>155.84357528000001</v>
      </c>
      <c r="M4" s="26">
        <v>104.08600991</v>
      </c>
      <c r="N4" s="26">
        <v>97.145532119999999</v>
      </c>
      <c r="O4" s="26">
        <v>93.735621019999996</v>
      </c>
      <c r="P4" s="47"/>
      <c r="Q4" s="242">
        <v>432.9</v>
      </c>
      <c r="R4" s="26">
        <v>519.82600000000002</v>
      </c>
      <c r="S4" s="27"/>
      <c r="T4" s="28">
        <v>-5.4443230999474193E-2</v>
      </c>
      <c r="U4" s="28">
        <v>-0.16722133944820006</v>
      </c>
      <c r="V4" s="154"/>
    </row>
    <row r="5" spans="1:27">
      <c r="A5" s="25" t="s">
        <v>214</v>
      </c>
      <c r="B5" s="175">
        <v>-28.677</v>
      </c>
      <c r="C5" s="26">
        <v>-36.768000000000001</v>
      </c>
      <c r="D5" s="26">
        <v>-41.392000000000003</v>
      </c>
      <c r="E5" s="26">
        <v>-47.243000000000002</v>
      </c>
      <c r="F5" s="26">
        <v>-46.651000000000003</v>
      </c>
      <c r="G5" s="26">
        <v>-53.292999999999999</v>
      </c>
      <c r="H5" s="26">
        <v>-51.503</v>
      </c>
      <c r="I5" s="26">
        <v>-43.603999999999999</v>
      </c>
      <c r="J5" s="26">
        <v>-32.027000000000001</v>
      </c>
      <c r="K5" s="26">
        <v>-24.38</v>
      </c>
      <c r="L5" s="26">
        <v>-19.818000000000001</v>
      </c>
      <c r="M5" s="26">
        <v>-15.426</v>
      </c>
      <c r="N5" s="26">
        <v>-22.78</v>
      </c>
      <c r="O5" s="26">
        <v>-22.38</v>
      </c>
      <c r="P5" s="47"/>
      <c r="Q5" s="242">
        <v>-65.444999999999993</v>
      </c>
      <c r="R5" s="26">
        <v>-99.944000000000003</v>
      </c>
      <c r="S5" s="27"/>
      <c r="T5" s="28">
        <v>-0.22005548302872066</v>
      </c>
      <c r="U5" s="28">
        <v>-0.34518330264948377</v>
      </c>
      <c r="V5" s="154"/>
    </row>
    <row r="6" spans="1:27">
      <c r="A6" s="23" t="s">
        <v>44</v>
      </c>
      <c r="B6" s="175">
        <v>181.71600000000001</v>
      </c>
      <c r="C6" s="26">
        <v>185.739</v>
      </c>
      <c r="D6" s="26">
        <v>197.88800000000001</v>
      </c>
      <c r="E6" s="26">
        <v>203.69499999999999</v>
      </c>
      <c r="F6" s="26">
        <v>206.63200000000001</v>
      </c>
      <c r="G6" s="26">
        <v>213.25</v>
      </c>
      <c r="H6" s="26">
        <v>220.053</v>
      </c>
      <c r="I6" s="26">
        <v>213.821</v>
      </c>
      <c r="J6" s="26">
        <v>196.09100000000001</v>
      </c>
      <c r="K6" s="26">
        <v>162.25200000000001</v>
      </c>
      <c r="L6" s="26">
        <v>136.02557528000003</v>
      </c>
      <c r="M6" s="26">
        <v>88.660009909999999</v>
      </c>
      <c r="N6" s="26">
        <v>74.365532119999997</v>
      </c>
      <c r="O6" s="26">
        <v>71.355621020000001</v>
      </c>
      <c r="P6" s="47"/>
      <c r="Q6" s="242">
        <v>367.45500000000004</v>
      </c>
      <c r="R6" s="26">
        <v>419.88200000000001</v>
      </c>
      <c r="S6" s="27"/>
      <c r="T6" s="28">
        <v>-2.165942532263012E-2</v>
      </c>
      <c r="U6" s="28">
        <v>-0.12486127054743944</v>
      </c>
      <c r="V6" s="154"/>
    </row>
    <row r="7" spans="1:27">
      <c r="A7" s="25" t="s">
        <v>45</v>
      </c>
      <c r="B7" s="175">
        <v>44.246000000000002</v>
      </c>
      <c r="C7" s="26">
        <v>43.936</v>
      </c>
      <c r="D7" s="26">
        <v>46.281999999999996</v>
      </c>
      <c r="E7" s="26">
        <v>44.448</v>
      </c>
      <c r="F7" s="26">
        <v>44.197000000000003</v>
      </c>
      <c r="G7" s="26">
        <v>42.017000000000003</v>
      </c>
      <c r="H7" s="26">
        <v>46.503999999999998</v>
      </c>
      <c r="I7" s="26">
        <v>44.914000000000001</v>
      </c>
      <c r="J7" s="26">
        <v>45.392000000000003</v>
      </c>
      <c r="K7" s="26">
        <v>44.212000000000003</v>
      </c>
      <c r="L7" s="26">
        <v>50.183999999999997</v>
      </c>
      <c r="M7" s="26">
        <v>48.462000000000003</v>
      </c>
      <c r="N7" s="26">
        <v>49.912999999999997</v>
      </c>
      <c r="O7" s="26">
        <v>43.725000000000001</v>
      </c>
      <c r="P7" s="47"/>
      <c r="Q7" s="242">
        <v>88.182000000000002</v>
      </c>
      <c r="R7" s="26">
        <v>86.213999999999999</v>
      </c>
      <c r="S7" s="27"/>
      <c r="T7" s="28">
        <v>7.0557174071377068E-3</v>
      </c>
      <c r="U7" s="28">
        <v>2.2826919061869344E-2</v>
      </c>
      <c r="V7" s="154"/>
    </row>
    <row r="8" spans="1:27" ht="24.75">
      <c r="A8" s="29" t="s">
        <v>185</v>
      </c>
      <c r="B8" s="175">
        <v>8.6760000000000002</v>
      </c>
      <c r="C8" s="26">
        <v>8.8629999999999995</v>
      </c>
      <c r="D8" s="26">
        <v>8.918000000000001</v>
      </c>
      <c r="E8" s="26">
        <v>14.25</v>
      </c>
      <c r="F8" s="26">
        <v>5.8840000000000003</v>
      </c>
      <c r="G8" s="26">
        <v>7.35</v>
      </c>
      <c r="H8" s="26">
        <v>8.3309999999999995</v>
      </c>
      <c r="I8" s="26">
        <v>7.367</v>
      </c>
      <c r="J8" s="26">
        <v>8.4550000000000001</v>
      </c>
      <c r="K8" s="26">
        <v>13.032</v>
      </c>
      <c r="L8" s="26">
        <v>11.686122172446046</v>
      </c>
      <c r="M8" s="26">
        <v>10.841129712485134</v>
      </c>
      <c r="N8" s="26">
        <v>0.86015383610577789</v>
      </c>
      <c r="O8" s="26">
        <v>2.0465498610922563</v>
      </c>
      <c r="P8" s="47"/>
      <c r="Q8" s="242">
        <v>17.539000000000001</v>
      </c>
      <c r="R8" s="26">
        <v>13.234</v>
      </c>
      <c r="S8" s="27"/>
      <c r="T8" s="28">
        <v>-2.1098950693895904E-2</v>
      </c>
      <c r="U8" s="28">
        <v>0.3252984736285327</v>
      </c>
      <c r="V8" s="154"/>
    </row>
    <row r="9" spans="1:27">
      <c r="A9" s="25" t="s">
        <v>452</v>
      </c>
      <c r="B9" s="175">
        <v>12.573</v>
      </c>
      <c r="C9" s="26">
        <v>11.848000000000001</v>
      </c>
      <c r="D9" s="26">
        <v>11.244</v>
      </c>
      <c r="E9" s="26">
        <v>12.172000000000001</v>
      </c>
      <c r="F9" s="26">
        <v>12.86</v>
      </c>
      <c r="G9" s="26">
        <v>9.9149999999999991</v>
      </c>
      <c r="H9" s="26">
        <v>15.723000000000001</v>
      </c>
      <c r="I9" s="26">
        <v>13.204000000000001</v>
      </c>
      <c r="J9" s="26">
        <v>15.007</v>
      </c>
      <c r="K9" s="26">
        <v>9.5540000000000003</v>
      </c>
      <c r="L9" s="26">
        <v>10.703117974432418</v>
      </c>
      <c r="M9" s="26">
        <v>10.138726101968972</v>
      </c>
      <c r="N9" s="26">
        <v>12.506753549909821</v>
      </c>
      <c r="O9" s="26">
        <v>11.217838508012017</v>
      </c>
      <c r="P9" s="47"/>
      <c r="Q9" s="242">
        <v>24.420999999999999</v>
      </c>
      <c r="R9" s="26">
        <v>22.774999999999999</v>
      </c>
      <c r="S9" s="27"/>
      <c r="T9" s="28">
        <v>6.1191762322754861E-2</v>
      </c>
      <c r="U9" s="28">
        <v>7.2272228320526932E-2</v>
      </c>
      <c r="V9" s="154"/>
    </row>
    <row r="10" spans="1:27" ht="24.75">
      <c r="A10" s="29" t="s">
        <v>186</v>
      </c>
      <c r="B10" s="175">
        <v>4.2590000000000003</v>
      </c>
      <c r="C10" s="26">
        <v>1.599</v>
      </c>
      <c r="D10" s="26">
        <v>-4.54</v>
      </c>
      <c r="E10" s="26">
        <v>2</v>
      </c>
      <c r="F10" s="26">
        <v>0.77100000000000002</v>
      </c>
      <c r="G10" s="26">
        <v>0.55399999999999983</v>
      </c>
      <c r="H10" s="26">
        <v>2.988</v>
      </c>
      <c r="I10" s="26">
        <v>2.3340000000000001</v>
      </c>
      <c r="J10" s="26">
        <v>3.1240000000000001</v>
      </c>
      <c r="K10" s="26">
        <v>1.5699999999999998</v>
      </c>
      <c r="L10" s="26">
        <v>2.3780000000000001</v>
      </c>
      <c r="M10" s="26">
        <v>3.7250000000000001</v>
      </c>
      <c r="N10" s="26">
        <v>1.996</v>
      </c>
      <c r="O10" s="26">
        <v>4.8730000000000002</v>
      </c>
      <c r="P10" s="47"/>
      <c r="Q10" s="242">
        <v>5.8580000000000005</v>
      </c>
      <c r="R10" s="26">
        <v>1.3249999999999997</v>
      </c>
      <c r="S10" s="27"/>
      <c r="T10" s="28">
        <v>1.6635397123202003</v>
      </c>
      <c r="U10" s="28">
        <v>3.4211320754716996</v>
      </c>
      <c r="V10" s="154"/>
    </row>
    <row r="11" spans="1:27">
      <c r="A11" s="25" t="s">
        <v>46</v>
      </c>
      <c r="B11" s="175">
        <v>2.7040000000000002</v>
      </c>
      <c r="C11" s="26">
        <v>2.8380000000000001</v>
      </c>
      <c r="D11" s="26">
        <v>6.8090000000000002</v>
      </c>
      <c r="E11" s="26">
        <v>2.31</v>
      </c>
      <c r="F11" s="26">
        <v>2.282</v>
      </c>
      <c r="G11" s="26">
        <v>2.9369999999999998</v>
      </c>
      <c r="H11" s="26">
        <v>3.1890000000000001</v>
      </c>
      <c r="I11" s="26">
        <v>2.948</v>
      </c>
      <c r="J11" s="26">
        <v>9.2819999999999769</v>
      </c>
      <c r="K11" s="26">
        <v>2.9159999999999906</v>
      </c>
      <c r="L11" s="26">
        <v>4.7370000000000001</v>
      </c>
      <c r="M11" s="26">
        <v>3.0179999999999998</v>
      </c>
      <c r="N11" s="26">
        <v>4.8550000000000004</v>
      </c>
      <c r="O11" s="26">
        <v>4.0730000000000004</v>
      </c>
      <c r="P11" s="47"/>
      <c r="Q11" s="242">
        <v>5.5419999999999998</v>
      </c>
      <c r="R11" s="26">
        <v>5.2189999999999994</v>
      </c>
      <c r="S11" s="27"/>
      <c r="T11" s="28">
        <v>-4.7216349541930901E-2</v>
      </c>
      <c r="U11" s="28">
        <v>6.1889250814332331E-2</v>
      </c>
      <c r="V11" s="154"/>
    </row>
    <row r="12" spans="1:27">
      <c r="A12" s="23" t="s">
        <v>47</v>
      </c>
      <c r="B12" s="177">
        <v>254.17400000000001</v>
      </c>
      <c r="C12" s="30">
        <v>254.82300000000001</v>
      </c>
      <c r="D12" s="30">
        <v>266.601</v>
      </c>
      <c r="E12" s="30">
        <v>278.875</v>
      </c>
      <c r="F12" s="30">
        <v>272.62599999999998</v>
      </c>
      <c r="G12" s="30">
        <v>276.02300000000002</v>
      </c>
      <c r="H12" s="30">
        <v>296.78800000000001</v>
      </c>
      <c r="I12" s="30">
        <v>284.58800000000002</v>
      </c>
      <c r="J12" s="30">
        <v>277.351</v>
      </c>
      <c r="K12" s="30">
        <v>233.536</v>
      </c>
      <c r="L12" s="30">
        <v>215.71381542687845</v>
      </c>
      <c r="M12" s="30">
        <v>164.84486572445411</v>
      </c>
      <c r="N12" s="30">
        <v>144.49643950601561</v>
      </c>
      <c r="O12" s="30">
        <v>137.29100938910429</v>
      </c>
      <c r="P12" s="47"/>
      <c r="Q12" s="243">
        <v>508.99700000000001</v>
      </c>
      <c r="R12" s="48">
        <v>548.649</v>
      </c>
      <c r="S12" s="27"/>
      <c r="T12" s="161">
        <v>-2.5468658637564146E-3</v>
      </c>
      <c r="U12" s="161">
        <v>-7.2272071943993307E-2</v>
      </c>
      <c r="V12" s="154"/>
    </row>
    <row r="13" spans="1:27">
      <c r="A13" s="25" t="s">
        <v>48</v>
      </c>
      <c r="B13" s="175">
        <v>-54.829000000000001</v>
      </c>
      <c r="C13" s="26">
        <v>-50.042000000000002</v>
      </c>
      <c r="D13" s="26">
        <v>-51.993000000000002</v>
      </c>
      <c r="E13" s="26">
        <v>-54.935000000000002</v>
      </c>
      <c r="F13" s="26">
        <v>-48.231000000000002</v>
      </c>
      <c r="G13" s="26">
        <v>-47.904000000000003</v>
      </c>
      <c r="H13" s="26">
        <v>-50.805</v>
      </c>
      <c r="I13" s="26">
        <v>-48.417000000000002</v>
      </c>
      <c r="J13" s="26">
        <v>-47.406999999999996</v>
      </c>
      <c r="K13" s="26">
        <v>-45.637999999999998</v>
      </c>
      <c r="L13" s="26">
        <v>-41.89042768235548</v>
      </c>
      <c r="M13" s="26">
        <v>-43.766469061319555</v>
      </c>
      <c r="N13" s="26">
        <v>-47.82119788717003</v>
      </c>
      <c r="O13" s="26">
        <v>-47.350664176215332</v>
      </c>
      <c r="P13" s="47"/>
      <c r="Q13" s="242">
        <v>-104.87100000000001</v>
      </c>
      <c r="R13" s="26">
        <v>-96.135000000000005</v>
      </c>
      <c r="S13" s="27"/>
      <c r="T13" s="28">
        <v>9.5659645897446119E-2</v>
      </c>
      <c r="U13" s="28">
        <v>9.0872210953346896E-2</v>
      </c>
      <c r="V13" s="154"/>
    </row>
    <row r="14" spans="1:27">
      <c r="A14" s="25" t="s">
        <v>416</v>
      </c>
      <c r="B14" s="175">
        <v>-7.8</v>
      </c>
      <c r="C14" s="26">
        <v>-7.7190000000000003</v>
      </c>
      <c r="D14" s="26">
        <v>-12.896000000000001</v>
      </c>
      <c r="E14" s="26">
        <v>-7.4349999999999996</v>
      </c>
      <c r="F14" s="26">
        <v>-7.2069999999999999</v>
      </c>
      <c r="G14" s="26">
        <v>-11.577</v>
      </c>
      <c r="H14" s="26">
        <v>-12.625999999999999</v>
      </c>
      <c r="I14" s="26">
        <v>-11.516999999999999</v>
      </c>
      <c r="J14" s="26">
        <v>-7.149</v>
      </c>
      <c r="K14" s="26">
        <v>-11.087999999999999</v>
      </c>
      <c r="L14" s="26">
        <v>-11.875999999999999</v>
      </c>
      <c r="M14" s="26">
        <v>-10.109</v>
      </c>
      <c r="N14" s="26">
        <v>-6.6509999999999998</v>
      </c>
      <c r="O14" s="26">
        <v>-9.8569999999999993</v>
      </c>
      <c r="P14" s="47"/>
      <c r="Q14" s="242">
        <v>-15.519</v>
      </c>
      <c r="R14" s="26">
        <v>-18.783999999999999</v>
      </c>
      <c r="S14" s="27"/>
      <c r="T14" s="28">
        <v>1.0493587252234683E-2</v>
      </c>
      <c r="U14" s="28">
        <v>-0.17381814310051102</v>
      </c>
      <c r="V14" s="154"/>
    </row>
    <row r="15" spans="1:27">
      <c r="A15" s="25" t="s">
        <v>49</v>
      </c>
      <c r="B15" s="175">
        <v>-38.859000000000002</v>
      </c>
      <c r="C15" s="26">
        <v>-37.529000000000003</v>
      </c>
      <c r="D15" s="26">
        <v>-49.268000000000001</v>
      </c>
      <c r="E15" s="26">
        <v>-43.360999999999997</v>
      </c>
      <c r="F15" s="26">
        <v>-38.041000000000004</v>
      </c>
      <c r="G15" s="26">
        <v>-32.947000000000003</v>
      </c>
      <c r="H15" s="26">
        <v>-43.118000000000002</v>
      </c>
      <c r="I15" s="26">
        <v>-37.523000000000003</v>
      </c>
      <c r="J15" s="26">
        <v>-34.263000000000012</v>
      </c>
      <c r="K15" s="26">
        <v>-33.934000000000005</v>
      </c>
      <c r="L15" s="26">
        <v>-41.721278500849763</v>
      </c>
      <c r="M15" s="26">
        <v>-32.908142911459137</v>
      </c>
      <c r="N15" s="26">
        <v>-34.787991811004041</v>
      </c>
      <c r="O15" s="26">
        <v>-34.362595486416069</v>
      </c>
      <c r="P15" s="47"/>
      <c r="Q15" s="242">
        <v>-76.388000000000005</v>
      </c>
      <c r="R15" s="26">
        <v>-70.988</v>
      </c>
      <c r="S15" s="27"/>
      <c r="T15" s="28">
        <v>3.5439260305363804E-2</v>
      </c>
      <c r="U15" s="28">
        <v>7.6069194793486297E-2</v>
      </c>
      <c r="V15" s="154"/>
    </row>
    <row r="16" spans="1:27">
      <c r="A16" s="23" t="s">
        <v>50</v>
      </c>
      <c r="B16" s="177">
        <v>-101.488</v>
      </c>
      <c r="C16" s="30">
        <v>-95.29</v>
      </c>
      <c r="D16" s="30">
        <v>-114.157</v>
      </c>
      <c r="E16" s="30">
        <v>-105.73099999999999</v>
      </c>
      <c r="F16" s="30">
        <v>-93.478999999999999</v>
      </c>
      <c r="G16" s="30">
        <v>-92.427999999999997</v>
      </c>
      <c r="H16" s="30">
        <v>-106.54900000000001</v>
      </c>
      <c r="I16" s="30">
        <v>-97.456999999999994</v>
      </c>
      <c r="J16" s="30">
        <v>-88.819000000000003</v>
      </c>
      <c r="K16" s="30">
        <v>-90.66</v>
      </c>
      <c r="L16" s="30">
        <v>-95.487706183205248</v>
      </c>
      <c r="M16" s="30">
        <v>-86.783611972778701</v>
      </c>
      <c r="N16" s="30">
        <v>-89.260189698174074</v>
      </c>
      <c r="O16" s="30">
        <v>-91.5702596626314</v>
      </c>
      <c r="P16" s="47"/>
      <c r="Q16" s="243">
        <v>-196.77800000000002</v>
      </c>
      <c r="R16" s="48">
        <v>-185.90699999999998</v>
      </c>
      <c r="S16" s="27"/>
      <c r="T16" s="161">
        <v>6.5043551264560739E-2</v>
      </c>
      <c r="U16" s="161">
        <v>5.8475474296288139E-2</v>
      </c>
      <c r="V16" s="154"/>
    </row>
    <row r="17" spans="1:22" ht="36.75">
      <c r="A17" s="29" t="s">
        <v>51</v>
      </c>
      <c r="B17" s="177">
        <v>152.68600000000001</v>
      </c>
      <c r="C17" s="30">
        <v>159.53299999999999</v>
      </c>
      <c r="D17" s="30">
        <v>152.44399999999999</v>
      </c>
      <c r="E17" s="30">
        <v>173.14400000000001</v>
      </c>
      <c r="F17" s="30">
        <v>179.14699999999999</v>
      </c>
      <c r="G17" s="30">
        <v>183.595</v>
      </c>
      <c r="H17" s="30">
        <v>190.239</v>
      </c>
      <c r="I17" s="30">
        <v>187.131</v>
      </c>
      <c r="J17" s="30">
        <v>188.53200000000001</v>
      </c>
      <c r="K17" s="30">
        <v>142.876</v>
      </c>
      <c r="L17" s="30">
        <v>120.22610924367325</v>
      </c>
      <c r="M17" s="30">
        <v>78.061253751675409</v>
      </c>
      <c r="N17" s="30">
        <v>55.236249807841524</v>
      </c>
      <c r="O17" s="30">
        <v>45.720749726472874</v>
      </c>
      <c r="P17" s="49"/>
      <c r="Q17" s="243">
        <v>312.21899999999999</v>
      </c>
      <c r="R17" s="48">
        <v>362.74199999999996</v>
      </c>
      <c r="S17" s="33"/>
      <c r="T17" s="161">
        <v>-4.2919019889301781E-2</v>
      </c>
      <c r="U17" s="161">
        <v>-0.13928081115503574</v>
      </c>
      <c r="V17" s="154"/>
    </row>
    <row r="18" spans="1:22" ht="17.25" customHeight="1">
      <c r="A18" s="29" t="s">
        <v>543</v>
      </c>
      <c r="B18" s="175">
        <v>-8.6</v>
      </c>
      <c r="C18" s="26">
        <v>-10.121</v>
      </c>
      <c r="D18" s="26">
        <v>-8.1929999999999996</v>
      </c>
      <c r="E18" s="26">
        <v>-6.67</v>
      </c>
      <c r="F18" s="26">
        <v>-8.7029999999999994</v>
      </c>
      <c r="G18" s="26">
        <v>-6.8019999999999996</v>
      </c>
      <c r="H18" s="26">
        <v>-18.678999999999998</v>
      </c>
      <c r="I18" s="26">
        <v>-19.670999999999967</v>
      </c>
      <c r="J18" s="26">
        <v>-13.19</v>
      </c>
      <c r="K18" s="26">
        <v>-11.207000000000001</v>
      </c>
      <c r="L18" s="26">
        <v>-11.158999999999999</v>
      </c>
      <c r="M18" s="26">
        <v>-12.44</v>
      </c>
      <c r="N18" s="26">
        <v>-11.189</v>
      </c>
      <c r="O18" s="26">
        <v>-11.930999999999999</v>
      </c>
      <c r="P18" s="47"/>
      <c r="Q18" s="242">
        <v>-18.721</v>
      </c>
      <c r="R18" s="26">
        <v>-15.504999999999999</v>
      </c>
      <c r="S18" s="27"/>
      <c r="T18" s="28">
        <v>-0.15028159272799138</v>
      </c>
      <c r="U18" s="28">
        <v>0.20741696227023548</v>
      </c>
      <c r="V18" s="154"/>
    </row>
    <row r="19" spans="1:22" ht="18" customHeight="1">
      <c r="A19" s="25" t="s">
        <v>52</v>
      </c>
      <c r="B19" s="175">
        <v>-4.327</v>
      </c>
      <c r="C19" s="26">
        <v>-9.9740000000000002</v>
      </c>
      <c r="D19" s="26">
        <v>-16.422999999999998</v>
      </c>
      <c r="E19" s="26">
        <v>-14.414</v>
      </c>
      <c r="F19" s="26">
        <v>-16.427</v>
      </c>
      <c r="G19" s="26">
        <v>-8.6639999999999997</v>
      </c>
      <c r="H19" s="26">
        <v>-15.728</v>
      </c>
      <c r="I19" s="26">
        <v>-7.9729999999999999</v>
      </c>
      <c r="J19" s="26">
        <v>-18.625</v>
      </c>
      <c r="K19" s="26">
        <v>-11.061999999999999</v>
      </c>
      <c r="L19" s="26">
        <v>-12.06</v>
      </c>
      <c r="M19" s="26">
        <v>-7.0420000000000007</v>
      </c>
      <c r="N19" s="26">
        <v>-8.1340000000000003</v>
      </c>
      <c r="O19" s="26">
        <v>-4.8900000000000006</v>
      </c>
      <c r="P19" s="47"/>
      <c r="Q19" s="242">
        <v>-14.301</v>
      </c>
      <c r="R19" s="26">
        <v>-25.091000000000001</v>
      </c>
      <c r="S19" s="27"/>
      <c r="T19" s="28">
        <v>-0.56617204732303994</v>
      </c>
      <c r="U19" s="28">
        <v>-0.43003467378741383</v>
      </c>
      <c r="V19" s="154"/>
    </row>
    <row r="20" spans="1:22" ht="24.75">
      <c r="A20" s="29" t="s">
        <v>697</v>
      </c>
      <c r="B20" s="175">
        <v>0.221</v>
      </c>
      <c r="C20" s="26">
        <v>-1.5740000000000001</v>
      </c>
      <c r="D20" s="26">
        <v>-12.731999999999999</v>
      </c>
      <c r="E20" s="26">
        <v>3.5179999999999998</v>
      </c>
      <c r="F20" s="26">
        <v>7.2329999999999997</v>
      </c>
      <c r="G20" s="26">
        <v>-9.7949999999999999</v>
      </c>
      <c r="H20" s="26">
        <v>-7.8689999999999998</v>
      </c>
      <c r="I20" s="26">
        <v>-6.4470000000000001</v>
      </c>
      <c r="J20" s="26">
        <v>-7.8339999999999996</v>
      </c>
      <c r="K20" s="26">
        <v>-6.3150000000000004</v>
      </c>
      <c r="L20" s="26">
        <v>-8.4770000000000003</v>
      </c>
      <c r="M20" s="26">
        <v>-2.8090000000000002</v>
      </c>
      <c r="N20" s="26">
        <v>-0.37</v>
      </c>
      <c r="O20" s="26">
        <v>-0.223</v>
      </c>
      <c r="P20" s="47"/>
      <c r="Q20" s="242">
        <v>-1.353</v>
      </c>
      <c r="R20" s="26">
        <v>-2.5620000000000003</v>
      </c>
      <c r="S20" s="27"/>
      <c r="T20" s="28">
        <v>-1.1404066073697585</v>
      </c>
      <c r="U20" s="28">
        <v>-0.47189695550351296</v>
      </c>
      <c r="V20" s="154"/>
    </row>
    <row r="21" spans="1:22">
      <c r="A21" s="29" t="s">
        <v>53</v>
      </c>
      <c r="B21" s="175">
        <v>0</v>
      </c>
      <c r="C21" s="26">
        <v>0</v>
      </c>
      <c r="D21" s="26">
        <v>0</v>
      </c>
      <c r="E21" s="26">
        <v>0</v>
      </c>
      <c r="F21" s="26">
        <v>0</v>
      </c>
      <c r="G21" s="26">
        <v>0</v>
      </c>
      <c r="H21" s="26">
        <v>0</v>
      </c>
      <c r="I21" s="26">
        <v>0</v>
      </c>
      <c r="J21" s="26">
        <v>0</v>
      </c>
      <c r="K21" s="26">
        <v>0</v>
      </c>
      <c r="L21" s="26">
        <v>0</v>
      </c>
      <c r="M21" s="26">
        <v>0</v>
      </c>
      <c r="N21" s="26">
        <v>0</v>
      </c>
      <c r="O21" s="26">
        <v>0</v>
      </c>
      <c r="P21" s="47"/>
      <c r="Q21" s="242">
        <v>0</v>
      </c>
      <c r="R21" s="26">
        <v>0</v>
      </c>
      <c r="S21" s="27"/>
      <c r="T21" s="28">
        <v>0</v>
      </c>
      <c r="U21" s="28">
        <v>0</v>
      </c>
      <c r="V21" s="154"/>
    </row>
    <row r="22" spans="1:22" ht="24.75">
      <c r="A22" s="29" t="s">
        <v>54</v>
      </c>
      <c r="B22" s="177">
        <v>139.97999999999999</v>
      </c>
      <c r="C22" s="30">
        <v>137.864</v>
      </c>
      <c r="D22" s="30">
        <v>115.096</v>
      </c>
      <c r="E22" s="30">
        <v>155.578</v>
      </c>
      <c r="F22" s="30">
        <v>161.25</v>
      </c>
      <c r="G22" s="30">
        <v>158.334</v>
      </c>
      <c r="H22" s="30">
        <v>147.96299999999999</v>
      </c>
      <c r="I22" s="30">
        <v>153.04</v>
      </c>
      <c r="J22" s="30">
        <v>148.88300000000001</v>
      </c>
      <c r="K22" s="30">
        <v>114.29200000000002</v>
      </c>
      <c r="L22" s="30">
        <v>88.530109243673223</v>
      </c>
      <c r="M22" s="30">
        <v>55.770253751675419</v>
      </c>
      <c r="N22" s="30">
        <v>35.543249807841526</v>
      </c>
      <c r="O22" s="30">
        <v>28.676749726472867</v>
      </c>
      <c r="P22" s="49"/>
      <c r="Q22" s="243">
        <v>277.84399999999999</v>
      </c>
      <c r="R22" s="48">
        <v>319.584</v>
      </c>
      <c r="S22" s="33"/>
      <c r="T22" s="161">
        <v>1.5348459351244599E-2</v>
      </c>
      <c r="U22" s="161">
        <v>-0.13060728947631925</v>
      </c>
      <c r="V22" s="154"/>
    </row>
    <row r="23" spans="1:22">
      <c r="A23" s="25" t="s">
        <v>55</v>
      </c>
      <c r="B23" s="175">
        <v>-21.9</v>
      </c>
      <c r="C23" s="26">
        <v>-20.169</v>
      </c>
      <c r="D23" s="26">
        <v>-8.15</v>
      </c>
      <c r="E23" s="26">
        <v>-24.777000000000001</v>
      </c>
      <c r="F23" s="26">
        <v>-23.271999999999998</v>
      </c>
      <c r="G23" s="26">
        <v>-24.93</v>
      </c>
      <c r="H23" s="26">
        <v>-10.069000000000001</v>
      </c>
      <c r="I23" s="26">
        <v>-23.143000000000001</v>
      </c>
      <c r="J23" s="26">
        <v>-21.983000000000001</v>
      </c>
      <c r="K23" s="26">
        <v>-17.785</v>
      </c>
      <c r="L23" s="26">
        <v>-12.707533032032313</v>
      </c>
      <c r="M23" s="26">
        <v>-7.4470759396987791</v>
      </c>
      <c r="N23" s="26">
        <v>-5.8612714291639252</v>
      </c>
      <c r="O23" s="26">
        <v>-5.2962987262517158</v>
      </c>
      <c r="P23" s="47"/>
      <c r="Q23" s="242">
        <v>-42.069000000000003</v>
      </c>
      <c r="R23" s="26">
        <v>-48.201999999999998</v>
      </c>
      <c r="S23" s="27"/>
      <c r="T23" s="28">
        <v>8.5824780603896977E-2</v>
      </c>
      <c r="U23" s="28">
        <v>-0.12723538442388274</v>
      </c>
      <c r="V23" s="154"/>
    </row>
    <row r="24" spans="1:22">
      <c r="A24" s="25" t="s">
        <v>56</v>
      </c>
      <c r="B24" s="175">
        <v>-0.40699999999999997</v>
      </c>
      <c r="C24" s="26">
        <v>-0.73</v>
      </c>
      <c r="D24" s="26">
        <v>0.61699999999999999</v>
      </c>
      <c r="E24" s="26">
        <v>-0.54200000000000004</v>
      </c>
      <c r="F24" s="26">
        <v>-0.45200000000000001</v>
      </c>
      <c r="G24" s="26">
        <v>-0.57799999999999996</v>
      </c>
      <c r="H24" s="26">
        <v>-4.8000000000000001E-2</v>
      </c>
      <c r="I24" s="26">
        <v>-0.78400000000000003</v>
      </c>
      <c r="J24" s="26">
        <v>-0.35199999999999998</v>
      </c>
      <c r="K24" s="26">
        <v>-0.55200000000000005</v>
      </c>
      <c r="L24" s="26">
        <v>-1.008</v>
      </c>
      <c r="M24" s="26">
        <v>-1.1970000000000001</v>
      </c>
      <c r="N24" s="26">
        <v>-0.83799999999999997</v>
      </c>
      <c r="O24" s="26">
        <v>0.17699999999999999</v>
      </c>
      <c r="P24" s="47"/>
      <c r="Q24" s="242">
        <v>-1.137</v>
      </c>
      <c r="R24" s="26">
        <v>-1.03</v>
      </c>
      <c r="S24" s="27"/>
      <c r="T24" s="28">
        <v>-0.44246575342465755</v>
      </c>
      <c r="U24" s="28">
        <v>0.10388349514563106</v>
      </c>
      <c r="V24" s="154"/>
    </row>
    <row r="25" spans="1:22" ht="36.75">
      <c r="A25" s="32" t="s">
        <v>57</v>
      </c>
      <c r="B25" s="177">
        <v>117.673</v>
      </c>
      <c r="C25" s="30">
        <v>116.965</v>
      </c>
      <c r="D25" s="30">
        <v>107.563</v>
      </c>
      <c r="E25" s="30">
        <v>130.25899999999999</v>
      </c>
      <c r="F25" s="30">
        <v>137.52600000000001</v>
      </c>
      <c r="G25" s="30">
        <v>132.82599999999999</v>
      </c>
      <c r="H25" s="30">
        <v>137.846</v>
      </c>
      <c r="I25" s="30">
        <v>129.113</v>
      </c>
      <c r="J25" s="30">
        <v>126.548</v>
      </c>
      <c r="K25" s="30">
        <v>95.954999999999998</v>
      </c>
      <c r="L25" s="30">
        <v>74.814576211640926</v>
      </c>
      <c r="M25" s="30">
        <v>47.126177811976632</v>
      </c>
      <c r="N25" s="30">
        <v>28.843978378677598</v>
      </c>
      <c r="O25" s="30">
        <v>23.557451000221153</v>
      </c>
      <c r="P25" s="47"/>
      <c r="Q25" s="243">
        <v>234.63800000000001</v>
      </c>
      <c r="R25" s="48">
        <v>270.35199999999998</v>
      </c>
      <c r="S25" s="27"/>
      <c r="T25" s="161">
        <v>6.0530928055401055E-3</v>
      </c>
      <c r="U25" s="161">
        <v>-0.13210185239983419</v>
      </c>
      <c r="V25" s="154"/>
    </row>
    <row r="26" spans="1:22">
      <c r="A26" s="29" t="s">
        <v>643</v>
      </c>
      <c r="B26" s="175">
        <v>0</v>
      </c>
      <c r="C26" s="26">
        <v>0</v>
      </c>
      <c r="D26" s="26">
        <v>0</v>
      </c>
      <c r="E26" s="26">
        <v>0</v>
      </c>
      <c r="F26" s="26">
        <v>0</v>
      </c>
      <c r="G26" s="26">
        <v>0</v>
      </c>
      <c r="H26" s="26">
        <v>0</v>
      </c>
      <c r="I26" s="26">
        <v>5.0000000000000001E-3</v>
      </c>
      <c r="J26" s="26">
        <v>-1.1839999999999953</v>
      </c>
      <c r="K26" s="26">
        <v>-1.071</v>
      </c>
      <c r="L26" s="26">
        <v>-1.365</v>
      </c>
      <c r="M26" s="26">
        <v>-4.5739999999999998</v>
      </c>
      <c r="N26" s="26">
        <v>-4.0250000000000004</v>
      </c>
      <c r="O26" s="26">
        <v>-1.26</v>
      </c>
      <c r="P26" s="49"/>
      <c r="Q26" s="242">
        <v>0</v>
      </c>
      <c r="R26" s="26">
        <v>0</v>
      </c>
      <c r="S26" s="33"/>
      <c r="T26" s="28">
        <v>0</v>
      </c>
      <c r="U26" s="28">
        <v>0</v>
      </c>
      <c r="V26" s="154"/>
    </row>
    <row r="27" spans="1:22">
      <c r="A27" s="29" t="s">
        <v>448</v>
      </c>
      <c r="B27" s="216">
        <v>0</v>
      </c>
      <c r="C27" s="244">
        <v>0</v>
      </c>
      <c r="D27" s="244">
        <v>0</v>
      </c>
      <c r="E27" s="244">
        <v>0</v>
      </c>
      <c r="F27" s="244">
        <v>0</v>
      </c>
      <c r="G27" s="244">
        <v>0</v>
      </c>
      <c r="H27" s="244">
        <v>0</v>
      </c>
      <c r="I27" s="244">
        <v>0</v>
      </c>
      <c r="J27" s="244">
        <v>0</v>
      </c>
      <c r="K27" s="244">
        <v>0</v>
      </c>
      <c r="L27" s="244">
        <v>1.9990000000000001</v>
      </c>
      <c r="M27" s="244">
        <v>-0.92900000000000005</v>
      </c>
      <c r="N27" s="244">
        <v>1.002</v>
      </c>
      <c r="O27" s="244">
        <v>-1.387</v>
      </c>
      <c r="P27" s="49"/>
      <c r="Q27" s="242">
        <v>0</v>
      </c>
      <c r="R27" s="26">
        <v>0</v>
      </c>
      <c r="S27" s="33"/>
      <c r="T27" s="28">
        <v>0</v>
      </c>
      <c r="U27" s="28">
        <v>0</v>
      </c>
      <c r="V27" s="154"/>
    </row>
    <row r="28" spans="1:22">
      <c r="A28" s="29" t="s">
        <v>449</v>
      </c>
      <c r="B28" s="216">
        <v>0</v>
      </c>
      <c r="C28" s="244">
        <v>0</v>
      </c>
      <c r="D28" s="244">
        <v>0</v>
      </c>
      <c r="E28" s="244">
        <v>0</v>
      </c>
      <c r="F28" s="244">
        <v>0</v>
      </c>
      <c r="G28" s="244">
        <v>0</v>
      </c>
      <c r="H28" s="244">
        <v>0</v>
      </c>
      <c r="I28" s="244">
        <v>-2E-3</v>
      </c>
      <c r="J28" s="244">
        <v>0.155</v>
      </c>
      <c r="K28" s="244">
        <v>-0.155</v>
      </c>
      <c r="L28" s="244">
        <v>-0.26100000000000001</v>
      </c>
      <c r="M28" s="244">
        <v>-1.2609999999999999</v>
      </c>
      <c r="N28" s="244">
        <v>-0.83099999999999996</v>
      </c>
      <c r="O28" s="244">
        <v>-0.55800000000000005</v>
      </c>
      <c r="P28" s="47"/>
      <c r="Q28" s="242">
        <v>0</v>
      </c>
      <c r="R28" s="26">
        <v>0</v>
      </c>
      <c r="S28" s="33"/>
      <c r="T28" s="28">
        <v>0</v>
      </c>
      <c r="U28" s="28">
        <v>0</v>
      </c>
      <c r="V28" s="154"/>
    </row>
    <row r="29" spans="1:22">
      <c r="A29" s="29" t="s">
        <v>644</v>
      </c>
      <c r="B29" s="216">
        <v>0</v>
      </c>
      <c r="C29" s="244">
        <v>0</v>
      </c>
      <c r="D29" s="244">
        <v>0</v>
      </c>
      <c r="E29" s="244">
        <v>0</v>
      </c>
      <c r="F29" s="244">
        <v>0</v>
      </c>
      <c r="G29" s="244">
        <v>0</v>
      </c>
      <c r="H29" s="244">
        <v>0</v>
      </c>
      <c r="I29" s="244">
        <v>0</v>
      </c>
      <c r="J29" s="26">
        <v>0</v>
      </c>
      <c r="K29" s="26">
        <v>0</v>
      </c>
      <c r="L29" s="26">
        <v>-9.1999999999999998E-2</v>
      </c>
      <c r="M29" s="26">
        <v>-101.104</v>
      </c>
      <c r="N29" s="26">
        <v>0</v>
      </c>
      <c r="O29" s="26">
        <v>-3.13</v>
      </c>
      <c r="P29" s="47"/>
      <c r="Q29" s="242">
        <v>0</v>
      </c>
      <c r="R29" s="26">
        <v>0</v>
      </c>
      <c r="S29" s="33"/>
      <c r="T29" s="28">
        <v>0</v>
      </c>
      <c r="U29" s="28">
        <v>0</v>
      </c>
      <c r="V29" s="154"/>
    </row>
    <row r="30" spans="1:22">
      <c r="A30" s="34" t="s">
        <v>221</v>
      </c>
      <c r="B30" s="177">
        <v>117.673</v>
      </c>
      <c r="C30" s="30">
        <v>116.965</v>
      </c>
      <c r="D30" s="30">
        <v>107.563</v>
      </c>
      <c r="E30" s="30">
        <v>130.25899999999999</v>
      </c>
      <c r="F30" s="30">
        <v>137.52600000000001</v>
      </c>
      <c r="G30" s="30">
        <v>132.82599999999999</v>
      </c>
      <c r="H30" s="30">
        <v>137.846</v>
      </c>
      <c r="I30" s="30">
        <v>129.11600000000001</v>
      </c>
      <c r="J30" s="30">
        <v>125.51900000000001</v>
      </c>
      <c r="K30" s="30">
        <v>94.728999999999999</v>
      </c>
      <c r="L30" s="30">
        <v>75.095576211640932</v>
      </c>
      <c r="M30" s="30">
        <v>-60.741822188023363</v>
      </c>
      <c r="N30" s="30">
        <v>24.989978378677595</v>
      </c>
      <c r="O30" s="30">
        <v>17.222451000221152</v>
      </c>
      <c r="P30" s="49"/>
      <c r="Q30" s="243">
        <v>234.63800000000001</v>
      </c>
      <c r="R30" s="48">
        <v>270.35199999999998</v>
      </c>
      <c r="S30" s="33"/>
      <c r="T30" s="161">
        <v>6.0530928055401055E-3</v>
      </c>
      <c r="U30" s="161">
        <v>-0.13210185239983419</v>
      </c>
      <c r="V30" s="154"/>
    </row>
    <row r="31" spans="1:22">
      <c r="A31" s="25"/>
      <c r="B31" s="25"/>
      <c r="C31" s="25"/>
      <c r="D31" s="25"/>
      <c r="E31" s="25"/>
      <c r="F31" s="25"/>
      <c r="G31" s="25"/>
      <c r="H31" s="25"/>
      <c r="I31" s="25"/>
      <c r="J31" s="25"/>
      <c r="K31" s="25"/>
      <c r="L31" s="261"/>
      <c r="M31" s="261"/>
      <c r="N31" s="261"/>
      <c r="O31" s="261"/>
      <c r="P31" s="191"/>
      <c r="Q31" s="191"/>
      <c r="R31" s="191"/>
      <c r="S31" s="33"/>
      <c r="T31" s="33"/>
      <c r="U31" s="33"/>
      <c r="V31" s="154"/>
    </row>
    <row r="32" spans="1:22">
      <c r="A32" s="21" t="s">
        <v>230</v>
      </c>
      <c r="B32" s="21"/>
      <c r="C32" s="21"/>
      <c r="D32" s="21"/>
      <c r="E32" s="21"/>
      <c r="F32" s="21"/>
      <c r="G32" s="21"/>
      <c r="H32" s="21"/>
      <c r="I32" s="21"/>
      <c r="J32" s="21"/>
      <c r="K32" s="21"/>
      <c r="L32" s="293"/>
      <c r="M32" s="293"/>
      <c r="N32" s="293"/>
      <c r="O32" s="293"/>
      <c r="P32" s="192"/>
      <c r="Q32" s="192"/>
      <c r="R32" s="192"/>
      <c r="S32" s="37"/>
      <c r="T32" s="37"/>
      <c r="U32" s="37"/>
      <c r="V32" s="154"/>
    </row>
    <row r="33" spans="1:22">
      <c r="A33" s="25" t="s">
        <v>223</v>
      </c>
      <c r="B33" s="198">
        <v>120.97400000000002</v>
      </c>
      <c r="C33" s="225">
        <v>124.14400000000001</v>
      </c>
      <c r="D33" s="225">
        <v>131.61399999999998</v>
      </c>
      <c r="E33" s="225">
        <v>138.69800000000001</v>
      </c>
      <c r="F33" s="225">
        <v>138.88800000000001</v>
      </c>
      <c r="G33" s="225">
        <v>138.09799999999998</v>
      </c>
      <c r="H33" s="225">
        <v>140.61700000000002</v>
      </c>
      <c r="I33" s="225">
        <v>138.19900000000004</v>
      </c>
      <c r="J33" s="225">
        <v>130.94</v>
      </c>
      <c r="K33" s="225">
        <v>112.89899999999999</v>
      </c>
      <c r="L33" s="26">
        <v>101.92957527999999</v>
      </c>
      <c r="M33" s="26">
        <v>86.609009909999997</v>
      </c>
      <c r="N33" s="26">
        <v>80.846532119999992</v>
      </c>
      <c r="O33" s="26">
        <v>77.330621019999995</v>
      </c>
      <c r="P33" s="191"/>
      <c r="Q33" s="242">
        <v>245.11800000000002</v>
      </c>
      <c r="R33" s="26">
        <v>276.98599999999999</v>
      </c>
      <c r="S33" s="33"/>
      <c r="T33" s="28">
        <v>-2.5534862740043719E-2</v>
      </c>
      <c r="U33" s="28">
        <v>-0.11505274634819077</v>
      </c>
      <c r="V33" s="154"/>
    </row>
    <row r="34" spans="1:22">
      <c r="A34" s="25" t="s">
        <v>481</v>
      </c>
      <c r="B34" s="198">
        <v>46.247</v>
      </c>
      <c r="C34" s="225">
        <v>56.561</v>
      </c>
      <c r="D34" s="225">
        <v>63.936999999999983</v>
      </c>
      <c r="E34" s="225">
        <v>69.25800000000001</v>
      </c>
      <c r="F34" s="225">
        <v>72.463000000000008</v>
      </c>
      <c r="G34" s="225">
        <v>91.596999999999994</v>
      </c>
      <c r="H34" s="225">
        <v>97.212999999999965</v>
      </c>
      <c r="I34" s="225">
        <v>92.115000000000009</v>
      </c>
      <c r="J34" s="225">
        <v>75.701999999999998</v>
      </c>
      <c r="K34" s="225">
        <v>56.838000000000001</v>
      </c>
      <c r="L34" s="26">
        <v>40.762000000000043</v>
      </c>
      <c r="M34" s="26">
        <v>10.558</v>
      </c>
      <c r="N34" s="26">
        <v>10.242999999999999</v>
      </c>
      <c r="O34" s="26">
        <v>10.288</v>
      </c>
      <c r="P34" s="191"/>
      <c r="Q34" s="242">
        <v>102.80799999999999</v>
      </c>
      <c r="R34" s="26">
        <v>164.06</v>
      </c>
      <c r="S34" s="33"/>
      <c r="T34" s="28">
        <v>-0.18235179717473171</v>
      </c>
      <c r="U34" s="28">
        <v>-0.37335121297086438</v>
      </c>
      <c r="V34" s="154"/>
    </row>
    <row r="35" spans="1:22">
      <c r="A35" s="25" t="s">
        <v>508</v>
      </c>
      <c r="B35" s="198">
        <v>7.5890000000000004</v>
      </c>
      <c r="C35" s="225">
        <v>7.5060000000000002</v>
      </c>
      <c r="D35" s="225">
        <v>7.6730000000000018</v>
      </c>
      <c r="E35" s="225">
        <v>7.6729999999999983</v>
      </c>
      <c r="F35" s="225">
        <v>7.3370000000000006</v>
      </c>
      <c r="G35" s="225">
        <v>4.3289999999999997</v>
      </c>
      <c r="H35" s="225">
        <v>3.2189999999999999</v>
      </c>
      <c r="I35" s="129"/>
      <c r="J35" s="129"/>
      <c r="K35" s="129"/>
      <c r="L35" s="129"/>
      <c r="M35" s="129"/>
      <c r="N35" s="129"/>
      <c r="O35" s="129"/>
      <c r="P35" s="191"/>
      <c r="Q35" s="242">
        <v>15.095000000000001</v>
      </c>
      <c r="R35" s="26">
        <v>11.666</v>
      </c>
      <c r="S35" s="33"/>
      <c r="T35" s="28">
        <v>1.1057820410338421E-2</v>
      </c>
      <c r="U35" s="28">
        <v>0.2939310817761015</v>
      </c>
      <c r="V35" s="154"/>
    </row>
    <row r="36" spans="1:22">
      <c r="A36" s="25" t="s">
        <v>224</v>
      </c>
      <c r="B36" s="198">
        <v>0</v>
      </c>
      <c r="C36" s="225">
        <v>0</v>
      </c>
      <c r="D36" s="225">
        <v>0</v>
      </c>
      <c r="E36" s="225">
        <v>0</v>
      </c>
      <c r="F36" s="225">
        <v>0</v>
      </c>
      <c r="G36" s="225">
        <v>0</v>
      </c>
      <c r="H36" s="225">
        <v>0</v>
      </c>
      <c r="I36" s="225">
        <v>0</v>
      </c>
      <c r="J36" s="225">
        <v>0</v>
      </c>
      <c r="K36" s="225">
        <v>0</v>
      </c>
      <c r="L36" s="26">
        <v>0</v>
      </c>
      <c r="M36" s="26">
        <v>0</v>
      </c>
      <c r="N36" s="26">
        <v>0</v>
      </c>
      <c r="O36" s="26">
        <v>0</v>
      </c>
      <c r="P36" s="191"/>
      <c r="Q36" s="242">
        <v>0</v>
      </c>
      <c r="R36" s="26">
        <v>0</v>
      </c>
      <c r="S36" s="33"/>
      <c r="T36" s="28">
        <v>0</v>
      </c>
      <c r="U36" s="28">
        <v>0</v>
      </c>
      <c r="V36" s="154"/>
    </row>
    <row r="37" spans="1:22">
      <c r="A37" s="25" t="s">
        <v>390</v>
      </c>
      <c r="B37" s="198">
        <v>30.829000000000001</v>
      </c>
      <c r="C37" s="225">
        <v>29.411999999999999</v>
      </c>
      <c r="D37" s="225">
        <v>30.583999999999996</v>
      </c>
      <c r="E37" s="225">
        <v>29.231000000000002</v>
      </c>
      <c r="F37" s="225">
        <v>27.225000000000001</v>
      </c>
      <c r="G37" s="225">
        <v>24.893000000000001</v>
      </c>
      <c r="H37" s="225">
        <v>24.271000000000001</v>
      </c>
      <c r="I37" s="225">
        <v>21.414999999999999</v>
      </c>
      <c r="J37" s="225">
        <v>16.523</v>
      </c>
      <c r="K37" s="225">
        <v>13.317</v>
      </c>
      <c r="L37" s="26">
        <v>5.6449999999999996</v>
      </c>
      <c r="M37" s="26">
        <v>2.6280000000000001</v>
      </c>
      <c r="N37" s="26">
        <v>2.069</v>
      </c>
      <c r="O37" s="26">
        <v>1.7290000000000001</v>
      </c>
      <c r="P37" s="191"/>
      <c r="Q37" s="242">
        <v>60.241</v>
      </c>
      <c r="R37" s="26">
        <v>52.118000000000002</v>
      </c>
      <c r="S37" s="33"/>
      <c r="T37" s="28">
        <v>4.8177614579083421E-2</v>
      </c>
      <c r="U37" s="28">
        <v>0.15585786100771321</v>
      </c>
      <c r="V37" s="154"/>
    </row>
    <row r="38" spans="1:22">
      <c r="A38" s="25" t="s">
        <v>289</v>
      </c>
      <c r="B38" s="198">
        <v>2.161</v>
      </c>
      <c r="C38" s="225">
        <v>1.9430000000000001</v>
      </c>
      <c r="D38" s="225">
        <v>1.8610000000000042</v>
      </c>
      <c r="E38" s="225">
        <v>1.8829999999999991</v>
      </c>
      <c r="F38" s="225">
        <v>2.0519999999999996</v>
      </c>
      <c r="G38" s="225">
        <v>2.1229999999999976</v>
      </c>
      <c r="H38" s="225">
        <v>2.1819999999999986</v>
      </c>
      <c r="I38" s="225">
        <v>2.2579999999999991</v>
      </c>
      <c r="J38" s="225">
        <v>2.152000000000001</v>
      </c>
      <c r="K38" s="225">
        <v>1.8409999999999993</v>
      </c>
      <c r="L38" s="26">
        <v>2.1140000000000008</v>
      </c>
      <c r="M38" s="26">
        <v>2.1899999999999995</v>
      </c>
      <c r="N38" s="26">
        <v>2.2240000000000002</v>
      </c>
      <c r="O38" s="26">
        <v>2.7450000000000001</v>
      </c>
      <c r="P38" s="191"/>
      <c r="Q38" s="242">
        <v>4.1040000000000001</v>
      </c>
      <c r="R38" s="26">
        <v>4.1749999999999972</v>
      </c>
      <c r="S38" s="33"/>
      <c r="T38" s="28">
        <v>0.11219763252702006</v>
      </c>
      <c r="U38" s="28">
        <v>-1.7005988023951403E-2</v>
      </c>
      <c r="V38" s="154"/>
    </row>
    <row r="39" spans="1:22">
      <c r="A39" s="25" t="s">
        <v>225</v>
      </c>
      <c r="B39" s="198">
        <v>0</v>
      </c>
      <c r="C39" s="225">
        <v>0</v>
      </c>
      <c r="D39" s="225">
        <v>0</v>
      </c>
      <c r="E39" s="225">
        <v>0</v>
      </c>
      <c r="F39" s="225">
        <v>0</v>
      </c>
      <c r="G39" s="225">
        <v>0</v>
      </c>
      <c r="H39" s="225">
        <v>0</v>
      </c>
      <c r="I39" s="225">
        <v>0</v>
      </c>
      <c r="J39" s="225">
        <v>0</v>
      </c>
      <c r="K39" s="225">
        <v>0</v>
      </c>
      <c r="L39" s="26">
        <v>0</v>
      </c>
      <c r="M39" s="26">
        <v>0</v>
      </c>
      <c r="N39" s="26">
        <v>0</v>
      </c>
      <c r="O39" s="26">
        <v>0</v>
      </c>
      <c r="P39" s="191"/>
      <c r="Q39" s="242">
        <v>0</v>
      </c>
      <c r="R39" s="26">
        <v>0</v>
      </c>
      <c r="S39" s="33"/>
      <c r="T39" s="28">
        <v>0</v>
      </c>
      <c r="U39" s="28">
        <v>0</v>
      </c>
      <c r="V39" s="154"/>
    </row>
    <row r="40" spans="1:22">
      <c r="A40" s="25"/>
      <c r="B40" s="250">
        <v>207.8</v>
      </c>
      <c r="C40" s="248">
        <v>219.56600000000003</v>
      </c>
      <c r="D40" s="248">
        <v>235.66899999999998</v>
      </c>
      <c r="E40" s="248">
        <v>246.74300000000002</v>
      </c>
      <c r="F40" s="248">
        <v>247.96499999999997</v>
      </c>
      <c r="G40" s="248">
        <v>261.04000000000002</v>
      </c>
      <c r="H40" s="248">
        <v>267.50200000000001</v>
      </c>
      <c r="I40" s="248">
        <v>253.98700000000005</v>
      </c>
      <c r="J40" s="248">
        <v>225.31700000000001</v>
      </c>
      <c r="K40" s="248">
        <v>184.89500000000001</v>
      </c>
      <c r="L40" s="283">
        <v>150.45057528000001</v>
      </c>
      <c r="M40" s="283">
        <v>101.98500991</v>
      </c>
      <c r="N40" s="283">
        <v>95.382532119999993</v>
      </c>
      <c r="O40" s="283">
        <v>92.092621019999996</v>
      </c>
      <c r="P40" s="191"/>
      <c r="Q40" s="246">
        <v>427.36600000000004</v>
      </c>
      <c r="R40" s="283">
        <v>509.005</v>
      </c>
      <c r="S40" s="33"/>
      <c r="T40" s="28">
        <v>-5.3587531767213585E-2</v>
      </c>
      <c r="U40" s="28">
        <v>-0.16038938713765083</v>
      </c>
      <c r="V40" s="154"/>
    </row>
    <row r="41" spans="1:22">
      <c r="A41" s="25" t="s">
        <v>226</v>
      </c>
      <c r="B41" s="198">
        <v>0</v>
      </c>
      <c r="C41" s="225">
        <v>0</v>
      </c>
      <c r="D41" s="225">
        <v>0</v>
      </c>
      <c r="E41" s="225">
        <v>0</v>
      </c>
      <c r="F41" s="225">
        <v>0</v>
      </c>
      <c r="G41" s="225">
        <v>0</v>
      </c>
      <c r="H41" s="225">
        <v>0</v>
      </c>
      <c r="I41" s="225">
        <v>0</v>
      </c>
      <c r="J41" s="225">
        <v>0</v>
      </c>
      <c r="K41" s="225">
        <v>0</v>
      </c>
      <c r="L41" s="26">
        <v>0</v>
      </c>
      <c r="M41" s="26">
        <v>0</v>
      </c>
      <c r="N41" s="26">
        <v>0</v>
      </c>
      <c r="O41" s="26">
        <v>0</v>
      </c>
      <c r="P41" s="191"/>
      <c r="Q41" s="242">
        <v>0</v>
      </c>
      <c r="R41" s="26">
        <v>0</v>
      </c>
      <c r="S41" s="33"/>
      <c r="T41" s="28">
        <v>0</v>
      </c>
      <c r="U41" s="28">
        <v>0</v>
      </c>
      <c r="V41" s="154"/>
    </row>
    <row r="42" spans="1:22">
      <c r="A42" s="25" t="s">
        <v>227</v>
      </c>
      <c r="B42" s="198">
        <v>2.593</v>
      </c>
      <c r="C42" s="225">
        <v>2.9409999999999998</v>
      </c>
      <c r="D42" s="225">
        <v>3.6110000000000002</v>
      </c>
      <c r="E42" s="225">
        <v>4.1950000000000003</v>
      </c>
      <c r="F42" s="225">
        <v>5.319</v>
      </c>
      <c r="G42" s="225">
        <v>5.5019999999999998</v>
      </c>
      <c r="H42" s="225">
        <v>4.0540000000000003</v>
      </c>
      <c r="I42" s="225">
        <v>3.4380000000000002</v>
      </c>
      <c r="J42" s="225">
        <v>2.802</v>
      </c>
      <c r="K42" s="225">
        <v>1.7370000000000001</v>
      </c>
      <c r="L42" s="26">
        <v>5.3929999999999998</v>
      </c>
      <c r="M42" s="26">
        <v>2.1010000000000004</v>
      </c>
      <c r="N42" s="26">
        <v>1.7629999999999999</v>
      </c>
      <c r="O42" s="26">
        <v>1.643</v>
      </c>
      <c r="P42" s="191"/>
      <c r="Q42" s="242">
        <v>5.5339999999999998</v>
      </c>
      <c r="R42" s="26">
        <v>10.821</v>
      </c>
      <c r="S42" s="33"/>
      <c r="T42" s="28">
        <v>-0.11832709962597752</v>
      </c>
      <c r="U42" s="28">
        <v>-0.48858700674614175</v>
      </c>
      <c r="V42" s="154"/>
    </row>
    <row r="43" spans="1:22">
      <c r="A43" s="25" t="s">
        <v>228</v>
      </c>
      <c r="B43" s="198">
        <v>0</v>
      </c>
      <c r="C43" s="225">
        <v>0</v>
      </c>
      <c r="D43" s="225">
        <v>0</v>
      </c>
      <c r="E43" s="225">
        <v>0</v>
      </c>
      <c r="F43" s="225">
        <v>0</v>
      </c>
      <c r="G43" s="225">
        <v>0</v>
      </c>
      <c r="H43" s="225">
        <v>0</v>
      </c>
      <c r="I43" s="225">
        <v>0</v>
      </c>
      <c r="J43" s="225">
        <v>0</v>
      </c>
      <c r="K43" s="225">
        <v>0</v>
      </c>
      <c r="L43" s="26">
        <v>0</v>
      </c>
      <c r="M43" s="26">
        <v>0</v>
      </c>
      <c r="N43" s="26">
        <v>0</v>
      </c>
      <c r="O43" s="26">
        <v>0</v>
      </c>
      <c r="P43" s="191"/>
      <c r="Q43" s="242">
        <v>0</v>
      </c>
      <c r="R43" s="26">
        <v>0</v>
      </c>
      <c r="S43" s="33"/>
      <c r="T43" s="28">
        <v>0</v>
      </c>
      <c r="U43" s="28">
        <v>0</v>
      </c>
      <c r="V43" s="154"/>
    </row>
    <row r="44" spans="1:22" ht="15.75" thickBot="1">
      <c r="A44" s="25"/>
      <c r="B44" s="271">
        <v>210.393</v>
      </c>
      <c r="C44" s="249">
        <v>222.50700000000003</v>
      </c>
      <c r="D44" s="249">
        <v>239.27999999999997</v>
      </c>
      <c r="E44" s="249">
        <v>250.93800000000002</v>
      </c>
      <c r="F44" s="249">
        <v>253.28399999999996</v>
      </c>
      <c r="G44" s="249">
        <v>266.54200000000003</v>
      </c>
      <c r="H44" s="249">
        <v>271.55599999999998</v>
      </c>
      <c r="I44" s="249">
        <v>257.42500000000007</v>
      </c>
      <c r="J44" s="249">
        <v>228.119</v>
      </c>
      <c r="K44" s="249">
        <v>186.63200000000001</v>
      </c>
      <c r="L44" s="206">
        <v>155.84357528000001</v>
      </c>
      <c r="M44" s="206">
        <v>104.08600991</v>
      </c>
      <c r="N44" s="206">
        <v>97.145532119999999</v>
      </c>
      <c r="O44" s="206">
        <v>93.735621019999996</v>
      </c>
      <c r="P44" s="191"/>
      <c r="Q44" s="247">
        <v>432.90000000000003</v>
      </c>
      <c r="R44" s="206">
        <v>519.82600000000002</v>
      </c>
      <c r="S44" s="33"/>
      <c r="T44" s="28">
        <v>-5.4443230999474311E-2</v>
      </c>
      <c r="U44" s="28">
        <v>-0.16722133944819995</v>
      </c>
      <c r="V44" s="154"/>
    </row>
    <row r="45" spans="1:22" ht="15.75" thickTop="1">
      <c r="A45" s="25"/>
      <c r="B45" s="251"/>
      <c r="C45" s="251"/>
      <c r="D45" s="251"/>
      <c r="E45" s="251"/>
      <c r="F45" s="251"/>
      <c r="G45" s="251"/>
      <c r="H45" s="251"/>
      <c r="I45" s="251"/>
      <c r="J45" s="251"/>
      <c r="K45" s="251"/>
      <c r="L45" s="261"/>
      <c r="M45" s="261"/>
      <c r="N45" s="261"/>
      <c r="O45" s="261"/>
      <c r="P45" s="191"/>
      <c r="Q45" s="253"/>
      <c r="R45" s="253"/>
      <c r="S45" s="33"/>
      <c r="T45" s="33"/>
      <c r="U45" s="33"/>
      <c r="V45" s="154"/>
    </row>
    <row r="46" spans="1:22">
      <c r="A46" s="21" t="s">
        <v>231</v>
      </c>
      <c r="B46" s="252"/>
      <c r="C46" s="252"/>
      <c r="D46" s="252"/>
      <c r="E46" s="252"/>
      <c r="F46" s="252"/>
      <c r="G46" s="252"/>
      <c r="H46" s="252"/>
      <c r="I46" s="252"/>
      <c r="J46" s="252"/>
      <c r="K46" s="252"/>
      <c r="L46" s="293"/>
      <c r="M46" s="293"/>
      <c r="N46" s="293"/>
      <c r="O46" s="293"/>
      <c r="P46" s="192"/>
      <c r="Q46" s="254"/>
      <c r="R46" s="192"/>
      <c r="S46" s="37"/>
      <c r="T46" s="37"/>
      <c r="U46" s="37"/>
      <c r="V46" s="154"/>
    </row>
    <row r="47" spans="1:22">
      <c r="A47" s="25" t="s">
        <v>100</v>
      </c>
      <c r="B47" s="198">
        <v>-15.034000000000001</v>
      </c>
      <c r="C47" s="225">
        <v>-17.988</v>
      </c>
      <c r="D47" s="225">
        <v>-17.48</v>
      </c>
      <c r="E47" s="225">
        <v>-18.817</v>
      </c>
      <c r="F47" s="225">
        <v>-16.963999999999999</v>
      </c>
      <c r="G47" s="225">
        <v>-14.686</v>
      </c>
      <c r="H47" s="225">
        <v>-12.537000000000001</v>
      </c>
      <c r="I47" s="225">
        <v>-9.3369999999999997</v>
      </c>
      <c r="J47" s="225">
        <v>-6.46</v>
      </c>
      <c r="K47" s="225">
        <v>-4.3659999999999997</v>
      </c>
      <c r="L47" s="26">
        <v>-2.988</v>
      </c>
      <c r="M47" s="26">
        <v>-1.4630000000000001</v>
      </c>
      <c r="N47" s="26">
        <v>-1.2470000000000001</v>
      </c>
      <c r="O47" s="26">
        <v>-1.016</v>
      </c>
      <c r="P47" s="191"/>
      <c r="Q47" s="242">
        <v>-33.021999999999998</v>
      </c>
      <c r="R47" s="26">
        <v>-31.65</v>
      </c>
      <c r="S47" s="33"/>
      <c r="T47" s="28">
        <v>-0.16422059150544802</v>
      </c>
      <c r="U47" s="28">
        <v>4.3349131121642966E-2</v>
      </c>
      <c r="V47" s="154"/>
    </row>
    <row r="48" spans="1:22">
      <c r="A48" s="25" t="s">
        <v>229</v>
      </c>
      <c r="B48" s="198">
        <v>-1.996</v>
      </c>
      <c r="C48" s="225">
        <v>-1.5640000000000001</v>
      </c>
      <c r="D48" s="225">
        <v>-1.869</v>
      </c>
      <c r="E48" s="225">
        <v>-2.5419999999999998</v>
      </c>
      <c r="F48" s="225">
        <v>-4.9050000000000002</v>
      </c>
      <c r="G48" s="225">
        <v>-21.233000000000001</v>
      </c>
      <c r="H48" s="225">
        <v>-22.577000000000002</v>
      </c>
      <c r="I48" s="225">
        <v>-20.515000000000001</v>
      </c>
      <c r="J48" s="225">
        <v>-18.05</v>
      </c>
      <c r="K48" s="225">
        <v>-13.347</v>
      </c>
      <c r="L48" s="26">
        <v>-5.8449999999999998</v>
      </c>
      <c r="M48" s="26">
        <v>-0.52300000000000002</v>
      </c>
      <c r="N48" s="26">
        <v>-0.38100000000000001</v>
      </c>
      <c r="O48" s="26">
        <v>-0.40200000000000002</v>
      </c>
      <c r="P48" s="191"/>
      <c r="Q48" s="242">
        <v>-3.56</v>
      </c>
      <c r="R48" s="26">
        <v>-26.138000000000002</v>
      </c>
      <c r="S48" s="33"/>
      <c r="T48" s="28">
        <v>0.27621483375959072</v>
      </c>
      <c r="U48" s="28">
        <v>-0.86379983166271335</v>
      </c>
      <c r="V48" s="154"/>
    </row>
    <row r="49" spans="1:22">
      <c r="A49" s="25" t="s">
        <v>518</v>
      </c>
      <c r="B49" s="198">
        <v>-17.478999999999999</v>
      </c>
      <c r="C49" s="225">
        <v>-17.288</v>
      </c>
      <c r="D49" s="225">
        <v>-17.667000000000002</v>
      </c>
      <c r="E49" s="225">
        <v>-17.640999999999998</v>
      </c>
      <c r="F49" s="225">
        <v>-16.059999999999999</v>
      </c>
      <c r="G49" s="225">
        <v>-13.387</v>
      </c>
      <c r="H49" s="225">
        <v>-13.845000000000001</v>
      </c>
      <c r="I49" s="225">
        <v>-12.053000000000001</v>
      </c>
      <c r="J49" s="225">
        <v>-7.016</v>
      </c>
      <c r="K49" s="225">
        <v>-6.94</v>
      </c>
      <c r="L49" s="26">
        <v>-7.1820000000000004</v>
      </c>
      <c r="M49" s="26">
        <v>-7.0750000000000002</v>
      </c>
      <c r="N49" s="26">
        <v>-6.9980000000000002</v>
      </c>
      <c r="O49" s="26">
        <v>-7.26</v>
      </c>
      <c r="P49" s="191"/>
      <c r="Q49" s="242">
        <v>-34.766999999999996</v>
      </c>
      <c r="R49" s="26">
        <v>-29.446999999999999</v>
      </c>
      <c r="S49" s="33"/>
      <c r="T49" s="28">
        <v>1.1048125867653804E-2</v>
      </c>
      <c r="U49" s="28">
        <v>0.18066356504907111</v>
      </c>
      <c r="V49" s="154"/>
    </row>
    <row r="50" spans="1:22">
      <c r="A50" s="25" t="s">
        <v>84</v>
      </c>
      <c r="B50" s="198">
        <v>0</v>
      </c>
      <c r="C50" s="225">
        <v>0</v>
      </c>
      <c r="D50" s="225">
        <v>0</v>
      </c>
      <c r="E50" s="225">
        <v>0</v>
      </c>
      <c r="F50" s="225">
        <v>0</v>
      </c>
      <c r="G50" s="225">
        <v>0</v>
      </c>
      <c r="H50" s="225">
        <v>0</v>
      </c>
      <c r="I50" s="225">
        <v>0</v>
      </c>
      <c r="J50" s="225">
        <v>0</v>
      </c>
      <c r="K50" s="225">
        <v>0</v>
      </c>
      <c r="L50" s="26">
        <v>0</v>
      </c>
      <c r="M50" s="26">
        <v>0</v>
      </c>
      <c r="N50" s="26">
        <v>0</v>
      </c>
      <c r="O50" s="26">
        <v>0</v>
      </c>
      <c r="P50" s="191"/>
      <c r="Q50" s="242">
        <v>0</v>
      </c>
      <c r="R50" s="26">
        <v>0</v>
      </c>
      <c r="S50" s="33"/>
      <c r="T50" s="28">
        <v>0</v>
      </c>
      <c r="U50" s="28">
        <v>0</v>
      </c>
      <c r="V50" s="154"/>
    </row>
    <row r="51" spans="1:22" ht="24.75">
      <c r="A51" s="29" t="s">
        <v>248</v>
      </c>
      <c r="B51" s="198">
        <v>0</v>
      </c>
      <c r="C51" s="225">
        <v>0</v>
      </c>
      <c r="D51" s="225">
        <v>0</v>
      </c>
      <c r="E51" s="225">
        <v>0</v>
      </c>
      <c r="F51" s="225">
        <v>0</v>
      </c>
      <c r="G51" s="225">
        <v>0</v>
      </c>
      <c r="H51" s="225">
        <v>0</v>
      </c>
      <c r="I51" s="225">
        <v>0</v>
      </c>
      <c r="J51" s="225">
        <v>0</v>
      </c>
      <c r="K51" s="225">
        <v>0</v>
      </c>
      <c r="L51" s="26">
        <v>0</v>
      </c>
      <c r="M51" s="26">
        <v>-3.0800000000000018</v>
      </c>
      <c r="N51" s="26">
        <v>-10.412999999999998</v>
      </c>
      <c r="O51" s="26">
        <v>-9.6910000000000007</v>
      </c>
      <c r="P51" s="191"/>
      <c r="Q51" s="242">
        <v>0</v>
      </c>
      <c r="R51" s="26">
        <v>0</v>
      </c>
      <c r="S51" s="33"/>
      <c r="T51" s="28">
        <v>0</v>
      </c>
      <c r="U51" s="28">
        <v>0</v>
      </c>
      <c r="V51" s="154"/>
    </row>
    <row r="52" spans="1:22">
      <c r="A52" s="25"/>
      <c r="B52" s="250">
        <v>-34.509</v>
      </c>
      <c r="C52" s="248">
        <v>-36.840000000000003</v>
      </c>
      <c r="D52" s="248">
        <v>-37.016000000000005</v>
      </c>
      <c r="E52" s="248">
        <v>-39</v>
      </c>
      <c r="F52" s="248">
        <v>-37.929000000000002</v>
      </c>
      <c r="G52" s="248">
        <v>-49.305999999999997</v>
      </c>
      <c r="H52" s="248">
        <v>-48.959000000000003</v>
      </c>
      <c r="I52" s="248">
        <v>-41.905000000000001</v>
      </c>
      <c r="J52" s="248">
        <v>-31.526000000000003</v>
      </c>
      <c r="K52" s="248">
        <v>-24.653000000000002</v>
      </c>
      <c r="L52" s="283">
        <v>-16.015000000000001</v>
      </c>
      <c r="M52" s="283">
        <v>-12.141000000000002</v>
      </c>
      <c r="N52" s="283">
        <v>-19.039000000000001</v>
      </c>
      <c r="O52" s="283">
        <v>-18.369</v>
      </c>
      <c r="P52" s="191"/>
      <c r="Q52" s="246">
        <v>-71.349000000000004</v>
      </c>
      <c r="R52" s="283">
        <v>-87.234999999999999</v>
      </c>
      <c r="S52" s="33"/>
      <c r="T52" s="28">
        <v>-6.3273615635179234E-2</v>
      </c>
      <c r="U52" s="28">
        <v>-0.18210580615578606</v>
      </c>
      <c r="V52" s="154"/>
    </row>
    <row r="53" spans="1:22">
      <c r="A53" s="25" t="s">
        <v>227</v>
      </c>
      <c r="B53" s="198">
        <v>5.8319999999999999</v>
      </c>
      <c r="C53" s="225">
        <v>7.1999999999999995E-2</v>
      </c>
      <c r="D53" s="225">
        <v>-4.3760000000000003</v>
      </c>
      <c r="E53" s="225">
        <v>-8.2430000000000003</v>
      </c>
      <c r="F53" s="225">
        <v>-8.7219999999999995</v>
      </c>
      <c r="G53" s="225">
        <v>-3.9870000000000001</v>
      </c>
      <c r="H53" s="225">
        <v>-2.544</v>
      </c>
      <c r="I53" s="225">
        <v>-1.6990000000000001</v>
      </c>
      <c r="J53" s="225">
        <v>-0.501</v>
      </c>
      <c r="K53" s="225">
        <v>0.27300000000000002</v>
      </c>
      <c r="L53" s="26">
        <v>-3.8029999999999999</v>
      </c>
      <c r="M53" s="26">
        <v>-3.2850000000000001</v>
      </c>
      <c r="N53" s="26">
        <v>-3.7410000000000001</v>
      </c>
      <c r="O53" s="26">
        <v>-4.0110000000000001</v>
      </c>
      <c r="P53" s="191"/>
      <c r="Q53" s="242">
        <v>5.9039999999999999</v>
      </c>
      <c r="R53" s="26">
        <v>-12.709</v>
      </c>
      <c r="S53" s="33"/>
      <c r="T53" s="28">
        <v>80</v>
      </c>
      <c r="U53" s="28">
        <v>-1.464552679203714</v>
      </c>
      <c r="V53" s="154"/>
    </row>
    <row r="54" spans="1:22" ht="15.75" thickBot="1">
      <c r="A54" s="25"/>
      <c r="B54" s="271">
        <v>-28.677</v>
      </c>
      <c r="C54" s="249">
        <v>-36.768000000000001</v>
      </c>
      <c r="D54" s="249">
        <v>-41.392000000000003</v>
      </c>
      <c r="E54" s="249">
        <v>-47.243000000000002</v>
      </c>
      <c r="F54" s="249">
        <v>-46.651000000000003</v>
      </c>
      <c r="G54" s="249">
        <v>-53.292999999999999</v>
      </c>
      <c r="H54" s="249">
        <v>-51.503</v>
      </c>
      <c r="I54" s="249">
        <v>-43.603999999999999</v>
      </c>
      <c r="J54" s="249">
        <v>-32.027000000000001</v>
      </c>
      <c r="K54" s="249">
        <v>-24.380000000000003</v>
      </c>
      <c r="L54" s="206">
        <v>-19.818000000000001</v>
      </c>
      <c r="M54" s="206">
        <v>-15.426000000000002</v>
      </c>
      <c r="N54" s="206">
        <v>-22.78</v>
      </c>
      <c r="O54" s="206">
        <v>-22.38</v>
      </c>
      <c r="P54" s="191"/>
      <c r="Q54" s="247">
        <v>-65.444999999999993</v>
      </c>
      <c r="R54" s="206">
        <v>-99.944000000000003</v>
      </c>
      <c r="S54" s="33"/>
      <c r="T54" s="28">
        <v>-0.22005548302872066</v>
      </c>
      <c r="U54" s="28">
        <v>-0.34518330264948377</v>
      </c>
      <c r="V54" s="154"/>
    </row>
    <row r="55" spans="1:22" ht="15.75" thickTop="1">
      <c r="A55" s="25"/>
      <c r="B55" s="261"/>
      <c r="C55" s="261"/>
      <c r="D55" s="261"/>
      <c r="E55" s="261"/>
      <c r="F55" s="261"/>
      <c r="G55" s="261"/>
      <c r="H55" s="261"/>
      <c r="I55" s="261"/>
      <c r="J55" s="261"/>
      <c r="K55" s="261"/>
      <c r="L55" s="261"/>
      <c r="M55" s="261"/>
      <c r="N55" s="261"/>
      <c r="O55" s="261"/>
      <c r="P55" s="191"/>
      <c r="Q55" s="191"/>
      <c r="R55" s="253"/>
      <c r="S55" s="33"/>
      <c r="T55" s="33"/>
      <c r="U55" s="33"/>
      <c r="V55" s="154"/>
    </row>
    <row r="56" spans="1:22">
      <c r="A56" s="21" t="s">
        <v>2</v>
      </c>
      <c r="B56" s="21"/>
      <c r="C56" s="21"/>
      <c r="D56" s="21"/>
      <c r="E56" s="21"/>
      <c r="F56" s="21"/>
      <c r="G56" s="21"/>
      <c r="H56" s="21"/>
      <c r="I56" s="21"/>
      <c r="J56" s="21"/>
      <c r="K56" s="21"/>
      <c r="L56" s="21"/>
      <c r="M56" s="21"/>
      <c r="N56" s="21"/>
      <c r="O56" s="21"/>
      <c r="P56" s="192"/>
      <c r="Q56" s="192"/>
      <c r="R56" s="192"/>
      <c r="S56" s="37"/>
      <c r="T56" s="37"/>
      <c r="U56" s="37"/>
      <c r="V56" s="154"/>
    </row>
    <row r="57" spans="1:22">
      <c r="A57" s="38" t="s">
        <v>58</v>
      </c>
      <c r="B57" s="245">
        <v>2.9792835858833962E-2</v>
      </c>
      <c r="C57" s="41">
        <v>3.125136208319787E-2</v>
      </c>
      <c r="D57" s="41">
        <v>3.3384868682624864E-2</v>
      </c>
      <c r="E57" s="41">
        <v>3.5165406384889464E-2</v>
      </c>
      <c r="F57" s="41">
        <v>3.6792190099611342E-2</v>
      </c>
      <c r="G57" s="41">
        <v>3.7016142947926746E-2</v>
      </c>
      <c r="H57" s="41">
        <v>3.6593275296371033E-2</v>
      </c>
      <c r="I57" s="41">
        <v>3.6278664400716032E-2</v>
      </c>
      <c r="J57" s="41">
        <v>3.4342092288413409E-2</v>
      </c>
      <c r="K57" s="41">
        <v>2.9067110064785181E-2</v>
      </c>
      <c r="L57" s="41">
        <v>2.3603140046405714E-2</v>
      </c>
      <c r="M57" s="41">
        <v>1.5291768822438779E-2</v>
      </c>
      <c r="N57" s="41">
        <v>1.3291078186523492E-2</v>
      </c>
      <c r="O57" s="41">
        <v>1.3186801782359203E-2</v>
      </c>
      <c r="P57" s="51"/>
      <c r="Q57" s="290">
        <v>3.0513312034002503E-2</v>
      </c>
      <c r="R57" s="158">
        <v>3.6610452998484755E-2</v>
      </c>
      <c r="S57" s="39"/>
      <c r="T57" s="158">
        <v>-1.4585262243639076E-3</v>
      </c>
      <c r="U57" s="158">
        <v>-6.0971409644822519E-3</v>
      </c>
      <c r="V57" s="154"/>
    </row>
    <row r="58" spans="1:22">
      <c r="A58" s="38" t="s">
        <v>450</v>
      </c>
      <c r="B58" s="203">
        <v>0.17407760038398892</v>
      </c>
      <c r="C58" s="28">
        <v>0.17241771739599643</v>
      </c>
      <c r="D58" s="28">
        <v>0.17360024906133134</v>
      </c>
      <c r="E58" s="28">
        <v>0.15938323621694309</v>
      </c>
      <c r="F58" s="28">
        <v>0.16211586569146011</v>
      </c>
      <c r="G58" s="28">
        <v>0.15222282201120921</v>
      </c>
      <c r="H58" s="28">
        <v>0.15669097133307275</v>
      </c>
      <c r="I58" s="28">
        <v>0.1578211308979999</v>
      </c>
      <c r="J58" s="28">
        <v>0.16366265129745342</v>
      </c>
      <c r="K58" s="28">
        <v>0.1893155659084681</v>
      </c>
      <c r="L58" s="28">
        <v>0.23264299573140371</v>
      </c>
      <c r="M58" s="28">
        <v>0.29398392718199945</v>
      </c>
      <c r="N58" s="28">
        <v>0.34542968662579299</v>
      </c>
      <c r="O58" s="28">
        <v>0.3184887739216552</v>
      </c>
      <c r="P58" s="51"/>
      <c r="Q58" s="235">
        <v>0.17324660066758743</v>
      </c>
      <c r="R58" s="50">
        <v>0.15713871710328461</v>
      </c>
      <c r="S58" s="39"/>
      <c r="T58" s="158">
        <v>1.6598829879924948E-3</v>
      </c>
      <c r="U58" s="158">
        <v>1.6107883564302816E-2</v>
      </c>
      <c r="V58" s="154"/>
    </row>
    <row r="59" spans="1:22">
      <c r="A59" s="38" t="s">
        <v>59</v>
      </c>
      <c r="B59" s="203">
        <v>0.39928603303740906</v>
      </c>
      <c r="C59" s="28">
        <v>0.37394531223317873</v>
      </c>
      <c r="D59" s="28">
        <v>0.42819485045759531</v>
      </c>
      <c r="E59" s="28">
        <v>0.37913361832491937</v>
      </c>
      <c r="F59" s="28">
        <v>0.34288431647482581</v>
      </c>
      <c r="G59" s="28">
        <v>0.33485564962575548</v>
      </c>
      <c r="H59" s="28">
        <v>0.35900742448877543</v>
      </c>
      <c r="I59" s="28">
        <v>0.34244888831544806</v>
      </c>
      <c r="J59" s="28">
        <v>0.32024174509334691</v>
      </c>
      <c r="K59" s="28">
        <v>0.38820424184615498</v>
      </c>
      <c r="L59" s="28">
        <v>0.44266104620470953</v>
      </c>
      <c r="M59" s="28">
        <v>0.52645815697585152</v>
      </c>
      <c r="N59" s="28">
        <v>0.61773214350767969</v>
      </c>
      <c r="O59" s="28">
        <v>0.66698151770309777</v>
      </c>
      <c r="P59" s="51"/>
      <c r="Q59" s="235">
        <v>0.38659952809152121</v>
      </c>
      <c r="R59" s="50">
        <v>0.33884505394159103</v>
      </c>
      <c r="S59" s="39"/>
      <c r="T59" s="50">
        <v>2.5340720804230332E-2</v>
      </c>
      <c r="U59" s="50">
        <v>4.7754474149930171E-2</v>
      </c>
      <c r="V59" s="154"/>
    </row>
    <row r="60" spans="1:22" ht="24.75">
      <c r="A60" s="79" t="s">
        <v>187</v>
      </c>
      <c r="B60" s="203">
        <v>0.36859718527838481</v>
      </c>
      <c r="C60" s="28">
        <v>0.34365480243118152</v>
      </c>
      <c r="D60" s="28">
        <v>0.37982255122980085</v>
      </c>
      <c r="E60" s="28">
        <v>0.35247200967211756</v>
      </c>
      <c r="F60" s="28">
        <v>0.31644953668877346</v>
      </c>
      <c r="G60" s="28">
        <v>0.29291360557716428</v>
      </c>
      <c r="H60" s="28">
        <v>0.31646491354560702</v>
      </c>
      <c r="I60" s="28">
        <v>0.30197960899622911</v>
      </c>
      <c r="J60" s="28">
        <v>0.29446641221621739</v>
      </c>
      <c r="K60" s="28">
        <v>0.34072719055573014</v>
      </c>
      <c r="L60" s="28">
        <v>0.38760560560985652</v>
      </c>
      <c r="M60" s="28">
        <v>0.46513504282814822</v>
      </c>
      <c r="N60" s="28">
        <v>0.57170533110101629</v>
      </c>
      <c r="O60" s="28">
        <v>0.59518688097525307</v>
      </c>
      <c r="P60" s="51"/>
      <c r="Q60" s="235">
        <v>0.3561101538908874</v>
      </c>
      <c r="R60" s="50">
        <v>0.30460822857601122</v>
      </c>
      <c r="S60" s="39"/>
      <c r="T60" s="50">
        <v>2.4942382847203293E-2</v>
      </c>
      <c r="U60" s="50">
        <v>5.1501925314876185E-2</v>
      </c>
      <c r="V60" s="154"/>
    </row>
    <row r="61" spans="1:22">
      <c r="A61" s="38" t="s">
        <v>451</v>
      </c>
      <c r="B61" s="178">
        <v>2.2705906667815176E-2</v>
      </c>
      <c r="C61" s="40">
        <v>2.426662541290248E-2</v>
      </c>
      <c r="D61" s="40">
        <v>2.3173690196568841E-2</v>
      </c>
      <c r="E61" s="40">
        <v>2.6838360250884354E-2</v>
      </c>
      <c r="F61" s="40">
        <v>2.8587573446328354E-2</v>
      </c>
      <c r="G61" s="40">
        <v>2.8637680356900997E-2</v>
      </c>
      <c r="H61" s="40">
        <v>2.8484514211546127E-2</v>
      </c>
      <c r="I61" s="40">
        <v>2.8522770110759772E-2</v>
      </c>
      <c r="J61" s="40">
        <v>2.9600614456600505E-2</v>
      </c>
      <c r="K61" s="40">
        <v>2.286887816323472E-2</v>
      </c>
      <c r="L61" s="40">
        <v>1.8576450941111117E-2</v>
      </c>
      <c r="M61" s="40">
        <v>1.1965408334939637E-2</v>
      </c>
      <c r="N61" s="40">
        <v>8.7487192344224973E-3</v>
      </c>
      <c r="O61" s="40">
        <v>7.454385879636859E-3</v>
      </c>
      <c r="P61" s="52"/>
      <c r="Q61" s="291">
        <v>2.3485003746837381E-2</v>
      </c>
      <c r="R61" s="157">
        <v>2.8407365379263708E-2</v>
      </c>
      <c r="S61" s="40"/>
      <c r="T61" s="157">
        <v>-1.5607187450873035E-3</v>
      </c>
      <c r="U61" s="157">
        <v>-4.9223616324263267E-3</v>
      </c>
      <c r="V61" s="154"/>
    </row>
    <row r="62" spans="1:22">
      <c r="A62" s="38" t="s">
        <v>651</v>
      </c>
      <c r="B62" s="178">
        <v>0.1822550676193731</v>
      </c>
      <c r="C62" s="40">
        <v>0.18269833698239882</v>
      </c>
      <c r="D62" s="40">
        <v>0.17109595380936665</v>
      </c>
      <c r="E62" s="40">
        <v>0.21571988377847437</v>
      </c>
      <c r="F62" s="40">
        <v>0.23658441688160511</v>
      </c>
      <c r="G62" s="40">
        <v>0.2357132297337049</v>
      </c>
      <c r="H62" s="40">
        <v>0.25641615718660282</v>
      </c>
      <c r="I62" s="40">
        <v>0.25586877238181183</v>
      </c>
      <c r="J62" s="40">
        <v>0.26590972962349801</v>
      </c>
      <c r="K62" s="40">
        <v>0.21322341739952172</v>
      </c>
      <c r="L62" s="40">
        <v>0.17253037731300455</v>
      </c>
      <c r="M62" s="40">
        <v>-0.13958174727401895</v>
      </c>
      <c r="N62" s="40">
        <v>5.7137732921141375E-2</v>
      </c>
      <c r="O62" s="40">
        <v>3.9881827646491619E-2</v>
      </c>
      <c r="P62" s="52"/>
      <c r="Q62" s="291">
        <v>0.18388407727288436</v>
      </c>
      <c r="R62" s="157">
        <v>0.23726114602854512</v>
      </c>
      <c r="S62" s="40"/>
      <c r="T62" s="157">
        <v>-4.4326936302571673E-4</v>
      </c>
      <c r="U62" s="157">
        <v>-5.3377068755660756E-2</v>
      </c>
      <c r="V62" s="154"/>
    </row>
    <row r="63" spans="1:22" ht="26.25">
      <c r="A63" s="79" t="s">
        <v>652</v>
      </c>
      <c r="B63" s="178">
        <v>0.26130759939504472</v>
      </c>
      <c r="C63" s="40">
        <v>0.25857526232453937</v>
      </c>
      <c r="D63" s="40">
        <v>0.23247661035908457</v>
      </c>
      <c r="E63" s="40">
        <v>0.28187180428783959</v>
      </c>
      <c r="F63" s="40">
        <v>0.29899732386787337</v>
      </c>
      <c r="G63" s="40">
        <v>0.29105670746111151</v>
      </c>
      <c r="H63" s="40">
        <v>0.28800889254891482</v>
      </c>
      <c r="I63" s="129"/>
      <c r="J63" s="129"/>
      <c r="K63" s="40">
        <v>0.21876384910279292</v>
      </c>
      <c r="L63" s="129"/>
      <c r="M63" s="129"/>
      <c r="N63" s="129"/>
      <c r="O63" s="129"/>
      <c r="P63" s="52"/>
      <c r="Q63" s="291">
        <v>0.25992423291740308</v>
      </c>
      <c r="R63" s="157">
        <v>0.29576565832332413</v>
      </c>
      <c r="S63" s="40"/>
      <c r="T63" s="157">
        <v>2.7323370705053529E-3</v>
      </c>
      <c r="U63" s="157">
        <v>-3.5841425405921057E-2</v>
      </c>
      <c r="V63" s="154"/>
    </row>
    <row r="64" spans="1:22" ht="26.25">
      <c r="A64" s="79" t="s">
        <v>653</v>
      </c>
      <c r="B64" s="284">
        <v>0.26829999999999998</v>
      </c>
      <c r="C64" s="39">
        <v>0.26579999999999998</v>
      </c>
      <c r="D64" s="39">
        <v>0.2427</v>
      </c>
      <c r="E64" s="39">
        <v>0.29299999999999998</v>
      </c>
      <c r="F64" s="39">
        <v>0.30880000000000002</v>
      </c>
      <c r="G64" s="39">
        <v>0.29680000000000001</v>
      </c>
      <c r="H64" s="39">
        <v>0.309</v>
      </c>
      <c r="I64" s="39">
        <v>0.28949999999999998</v>
      </c>
      <c r="J64" s="39">
        <v>0.28139999999999998</v>
      </c>
      <c r="K64" s="39">
        <v>0.21240000000000001</v>
      </c>
      <c r="L64" s="39">
        <v>0.16835483236582577</v>
      </c>
      <c r="M64" s="39">
        <v>-0.13617411479763594</v>
      </c>
      <c r="N64" s="39">
        <v>5.6024021789052282E-2</v>
      </c>
      <c r="O64" s="39">
        <v>3.8609858142532136E-2</v>
      </c>
      <c r="P64" s="51"/>
      <c r="Q64" s="292">
        <v>0.53505883639539298</v>
      </c>
      <c r="R64" s="268">
        <v>0.60650000000000004</v>
      </c>
      <c r="S64" s="41"/>
      <c r="T64" s="268">
        <v>2.5000000000000022E-3</v>
      </c>
      <c r="U64" s="268">
        <v>-7.1441163604607061E-2</v>
      </c>
      <c r="V64" s="154"/>
    </row>
    <row r="65" spans="1:22">
      <c r="A65" s="79" t="s">
        <v>655</v>
      </c>
      <c r="B65" s="284">
        <v>5.8012689732506599</v>
      </c>
      <c r="C65" s="39">
        <v>6.0400619610942794</v>
      </c>
      <c r="D65" s="39">
        <v>5.7682956341149358</v>
      </c>
      <c r="E65" s="39">
        <v>5.5643879837857693</v>
      </c>
      <c r="F65" s="39">
        <v>5.2674440331105066</v>
      </c>
      <c r="G65" s="39">
        <v>5.2314373610629836</v>
      </c>
      <c r="H65" s="39">
        <v>4.9270401840244116</v>
      </c>
      <c r="I65" s="39">
        <v>4.632723689808353</v>
      </c>
      <c r="J65" s="39">
        <v>4.34</v>
      </c>
      <c r="K65" s="39">
        <v>4.1500000000000004</v>
      </c>
      <c r="L65" s="129"/>
      <c r="M65" s="129"/>
      <c r="N65" s="129"/>
      <c r="O65" s="129"/>
      <c r="P65" s="51"/>
      <c r="Q65" s="292">
        <v>5.8012689732506599</v>
      </c>
      <c r="R65" s="268">
        <v>5.2674440331105066</v>
      </c>
      <c r="S65" s="41"/>
      <c r="T65" s="268">
        <v>-0.23879298784361946</v>
      </c>
      <c r="U65" s="268">
        <v>0.53382494014015336</v>
      </c>
      <c r="V65" s="154"/>
    </row>
    <row r="66" spans="1:22" ht="26.25">
      <c r="A66" s="79" t="s">
        <v>654</v>
      </c>
      <c r="B66" s="284">
        <v>5.6012689732506598</v>
      </c>
      <c r="C66" s="39">
        <v>5.560061961094279</v>
      </c>
      <c r="D66" s="39">
        <v>5.2882956341149363</v>
      </c>
      <c r="E66" s="39">
        <v>5.5643879837857693</v>
      </c>
      <c r="F66" s="39">
        <v>5.2674440331105066</v>
      </c>
      <c r="G66" s="39">
        <v>4.9814373610629836</v>
      </c>
      <c r="H66" s="39">
        <v>4.68</v>
      </c>
      <c r="I66" s="39">
        <v>4.632723689808353</v>
      </c>
      <c r="J66" s="39">
        <v>4.34</v>
      </c>
      <c r="K66" s="39">
        <v>4.1000000000000005</v>
      </c>
      <c r="L66" s="129"/>
      <c r="M66" s="129"/>
      <c r="N66" s="129"/>
      <c r="O66" s="129"/>
      <c r="P66" s="51"/>
      <c r="Q66" s="292">
        <v>5.6012689732506598</v>
      </c>
      <c r="R66" s="268">
        <v>5.2674440331105066</v>
      </c>
      <c r="S66" s="41"/>
      <c r="T66" s="268">
        <v>4.1207012156380785E-2</v>
      </c>
      <c r="U66" s="268">
        <v>0.33382494014015318</v>
      </c>
      <c r="V66" s="154"/>
    </row>
    <row r="67" spans="1:22">
      <c r="A67" s="24"/>
      <c r="B67" s="24"/>
      <c r="C67" s="24"/>
      <c r="D67" s="24"/>
      <c r="E67" s="24"/>
      <c r="F67" s="24"/>
      <c r="G67" s="24"/>
      <c r="H67" s="24"/>
      <c r="I67" s="24"/>
      <c r="J67" s="24"/>
      <c r="K67" s="24"/>
      <c r="L67" s="24"/>
      <c r="M67" s="24"/>
      <c r="N67" s="24"/>
      <c r="O67" s="24"/>
      <c r="P67" s="51"/>
      <c r="Q67" s="193"/>
      <c r="R67" s="193"/>
      <c r="S67" s="42"/>
      <c r="T67" s="42"/>
      <c r="U67" s="42"/>
      <c r="V67" s="154"/>
    </row>
    <row r="68" spans="1:22">
      <c r="A68" s="21" t="s">
        <v>3</v>
      </c>
      <c r="B68" s="21"/>
      <c r="C68" s="21"/>
      <c r="D68" s="21"/>
      <c r="E68" s="21"/>
      <c r="F68" s="21"/>
      <c r="G68" s="21"/>
      <c r="H68" s="21"/>
      <c r="I68" s="21"/>
      <c r="J68" s="21"/>
      <c r="K68" s="21"/>
      <c r="L68" s="21"/>
      <c r="M68" s="21"/>
      <c r="N68" s="21"/>
      <c r="O68" s="21"/>
      <c r="P68" s="194"/>
      <c r="Q68" s="194"/>
      <c r="R68" s="194"/>
      <c r="S68" s="22"/>
      <c r="T68" s="22"/>
      <c r="U68" s="35"/>
      <c r="V68" s="154"/>
    </row>
    <row r="69" spans="1:22">
      <c r="A69" s="43"/>
      <c r="B69" s="318">
        <v>45838</v>
      </c>
      <c r="C69" s="264">
        <v>45747</v>
      </c>
      <c r="D69" s="264">
        <v>45627</v>
      </c>
      <c r="E69" s="264">
        <v>45536</v>
      </c>
      <c r="F69" s="264">
        <v>45444</v>
      </c>
      <c r="G69" s="264">
        <v>45352</v>
      </c>
      <c r="H69" s="264">
        <v>45261</v>
      </c>
      <c r="I69" s="264">
        <v>45170</v>
      </c>
      <c r="J69" s="264">
        <v>45078</v>
      </c>
      <c r="K69" s="264">
        <v>44986</v>
      </c>
      <c r="L69" s="264">
        <v>44896</v>
      </c>
      <c r="M69" s="264">
        <v>44805</v>
      </c>
      <c r="N69" s="264">
        <v>44713</v>
      </c>
      <c r="O69" s="264">
        <v>44621</v>
      </c>
      <c r="P69" s="195"/>
      <c r="Q69" s="195"/>
      <c r="R69" s="195"/>
      <c r="S69" s="44"/>
      <c r="T69" s="44"/>
      <c r="U69" s="24"/>
      <c r="V69" s="154"/>
    </row>
    <row r="70" spans="1:22">
      <c r="A70" s="19" t="s">
        <v>241</v>
      </c>
      <c r="B70" s="319"/>
      <c r="C70" s="19"/>
      <c r="D70" s="19"/>
      <c r="E70" s="19"/>
      <c r="F70" s="19"/>
      <c r="G70" s="19"/>
      <c r="H70" s="19"/>
      <c r="I70" s="19"/>
      <c r="J70" s="19"/>
      <c r="K70" s="19"/>
      <c r="L70" s="19"/>
      <c r="M70" s="19"/>
      <c r="N70" s="19"/>
      <c r="O70" s="19"/>
      <c r="P70" s="196"/>
      <c r="Q70" s="196"/>
      <c r="R70" s="196"/>
      <c r="S70" s="38"/>
      <c r="T70" s="24"/>
      <c r="U70" s="24"/>
      <c r="V70" s="154"/>
    </row>
    <row r="71" spans="1:22">
      <c r="A71" s="38" t="s">
        <v>242</v>
      </c>
      <c r="B71" s="320" t="s">
        <v>600</v>
      </c>
      <c r="C71" s="73" t="s">
        <v>600</v>
      </c>
      <c r="D71" s="73" t="s">
        <v>600</v>
      </c>
      <c r="E71" s="73" t="s">
        <v>528</v>
      </c>
      <c r="F71" s="73" t="s">
        <v>528</v>
      </c>
      <c r="G71" s="73" t="s">
        <v>510</v>
      </c>
      <c r="H71" s="73" t="s">
        <v>510</v>
      </c>
      <c r="I71" s="73" t="s">
        <v>377</v>
      </c>
      <c r="J71" s="73" t="s">
        <v>377</v>
      </c>
      <c r="K71" s="73" t="s">
        <v>377</v>
      </c>
      <c r="L71" s="73" t="s">
        <v>377</v>
      </c>
      <c r="M71" s="73" t="s">
        <v>377</v>
      </c>
      <c r="N71" s="73" t="s">
        <v>307</v>
      </c>
      <c r="O71" s="73" t="s">
        <v>307</v>
      </c>
      <c r="P71" s="196"/>
      <c r="Q71" s="196"/>
      <c r="R71" s="196"/>
      <c r="S71" s="38"/>
      <c r="T71" s="24"/>
      <c r="U71" s="24"/>
      <c r="V71" s="154"/>
    </row>
    <row r="72" spans="1:22">
      <c r="A72" s="38" t="s">
        <v>243</v>
      </c>
      <c r="B72" s="320" t="s">
        <v>601</v>
      </c>
      <c r="C72" s="73" t="s">
        <v>601</v>
      </c>
      <c r="D72" s="73" t="s">
        <v>601</v>
      </c>
      <c r="E72" s="73" t="s">
        <v>177</v>
      </c>
      <c r="F72" s="73" t="s">
        <v>177</v>
      </c>
      <c r="G72" s="73" t="s">
        <v>177</v>
      </c>
      <c r="H72" s="73" t="s">
        <v>177</v>
      </c>
      <c r="I72" s="73" t="s">
        <v>177</v>
      </c>
      <c r="J72" s="73" t="s">
        <v>177</v>
      </c>
      <c r="K72" s="73" t="s">
        <v>177</v>
      </c>
      <c r="L72" s="73" t="s">
        <v>177</v>
      </c>
      <c r="M72" s="73" t="s">
        <v>177</v>
      </c>
      <c r="N72" s="73" t="s">
        <v>177</v>
      </c>
      <c r="O72" s="73" t="s">
        <v>177</v>
      </c>
      <c r="P72" s="196"/>
      <c r="Q72" s="196"/>
      <c r="R72" s="196"/>
      <c r="S72" s="38"/>
      <c r="T72" s="24"/>
      <c r="U72" s="24"/>
      <c r="V72" s="154"/>
    </row>
    <row r="73" spans="1:22">
      <c r="A73" s="38" t="s">
        <v>72</v>
      </c>
      <c r="B73" s="320" t="s">
        <v>308</v>
      </c>
      <c r="C73" s="73" t="s">
        <v>308</v>
      </c>
      <c r="D73" s="73" t="s">
        <v>308</v>
      </c>
      <c r="E73" s="73" t="s">
        <v>244</v>
      </c>
      <c r="F73" s="73" t="s">
        <v>244</v>
      </c>
      <c r="G73" s="73" t="s">
        <v>244</v>
      </c>
      <c r="H73" s="73" t="s">
        <v>244</v>
      </c>
      <c r="I73" s="73" t="s">
        <v>244</v>
      </c>
      <c r="J73" s="73" t="s">
        <v>244</v>
      </c>
      <c r="K73" s="73" t="s">
        <v>244</v>
      </c>
      <c r="L73" s="73" t="s">
        <v>308</v>
      </c>
      <c r="M73" s="73" t="s">
        <v>308</v>
      </c>
      <c r="N73" s="73" t="s">
        <v>244</v>
      </c>
      <c r="O73" s="73" t="s">
        <v>244</v>
      </c>
      <c r="P73" s="196"/>
      <c r="Q73" s="196"/>
      <c r="R73" s="196"/>
      <c r="S73" s="38"/>
      <c r="T73" s="24"/>
      <c r="U73" s="24"/>
      <c r="V73" s="154"/>
    </row>
    <row r="74" spans="1:22">
      <c r="A74" s="19"/>
      <c r="B74" s="320"/>
      <c r="C74" s="73"/>
      <c r="D74" s="73"/>
      <c r="E74" s="73"/>
      <c r="F74" s="73"/>
      <c r="G74" s="73"/>
      <c r="H74" s="73"/>
      <c r="I74" s="73"/>
      <c r="J74" s="73"/>
      <c r="K74" s="73"/>
      <c r="L74" s="73"/>
      <c r="M74" s="73"/>
      <c r="N74" s="73"/>
      <c r="O74" s="73"/>
      <c r="P74" s="196"/>
      <c r="Q74" s="196"/>
      <c r="R74" s="196"/>
      <c r="S74" s="38"/>
      <c r="T74" s="24"/>
      <c r="U74" s="24"/>
      <c r="V74" s="154"/>
    </row>
    <row r="75" spans="1:22">
      <c r="A75" s="19" t="s">
        <v>68</v>
      </c>
      <c r="B75" s="320"/>
      <c r="C75" s="73"/>
      <c r="D75" s="73"/>
      <c r="E75" s="73"/>
      <c r="F75" s="73"/>
      <c r="G75" s="73"/>
      <c r="H75" s="73"/>
      <c r="I75" s="73"/>
      <c r="J75" s="73"/>
      <c r="K75" s="73"/>
      <c r="L75" s="73"/>
      <c r="M75" s="73"/>
      <c r="N75" s="73"/>
      <c r="O75" s="73"/>
      <c r="P75" s="196"/>
      <c r="Q75" s="196"/>
      <c r="R75" s="196"/>
      <c r="S75" s="38"/>
      <c r="T75" s="24"/>
      <c r="U75" s="24"/>
      <c r="V75" s="154"/>
    </row>
    <row r="76" spans="1:22">
      <c r="A76" s="38" t="s">
        <v>69</v>
      </c>
      <c r="B76" s="320" t="s">
        <v>600</v>
      </c>
      <c r="C76" s="73" t="s">
        <v>600</v>
      </c>
      <c r="D76" s="73" t="s">
        <v>528</v>
      </c>
      <c r="E76" s="73" t="s">
        <v>528</v>
      </c>
      <c r="F76" s="73" t="s">
        <v>510</v>
      </c>
      <c r="G76" s="73" t="s">
        <v>510</v>
      </c>
      <c r="H76" s="73" t="s">
        <v>510</v>
      </c>
      <c r="I76" s="73" t="s">
        <v>307</v>
      </c>
      <c r="J76" s="73" t="s">
        <v>307</v>
      </c>
      <c r="K76" s="73" t="s">
        <v>307</v>
      </c>
      <c r="L76" s="73" t="s">
        <v>307</v>
      </c>
      <c r="M76" s="73" t="s">
        <v>176</v>
      </c>
      <c r="N76" s="73" t="s">
        <v>176</v>
      </c>
      <c r="O76" s="73" t="s">
        <v>176</v>
      </c>
      <c r="P76" s="197"/>
      <c r="Q76" s="197"/>
      <c r="R76" s="197"/>
      <c r="S76" s="45"/>
      <c r="T76" s="45"/>
      <c r="U76" s="24"/>
      <c r="V76" s="154"/>
    </row>
    <row r="77" spans="1:22">
      <c r="A77" s="38" t="s">
        <v>70</v>
      </c>
      <c r="B77" s="320" t="s">
        <v>612</v>
      </c>
      <c r="C77" s="73" t="s">
        <v>612</v>
      </c>
      <c r="D77" s="73" t="s">
        <v>177</v>
      </c>
      <c r="E77" s="73" t="s">
        <v>177</v>
      </c>
      <c r="F77" s="73" t="s">
        <v>177</v>
      </c>
      <c r="G77" s="73" t="s">
        <v>177</v>
      </c>
      <c r="H77" s="73" t="s">
        <v>177</v>
      </c>
      <c r="I77" s="73" t="s">
        <v>177</v>
      </c>
      <c r="J77" s="73" t="s">
        <v>177</v>
      </c>
      <c r="K77" s="73" t="s">
        <v>177</v>
      </c>
      <c r="L77" s="73" t="s">
        <v>177</v>
      </c>
      <c r="M77" s="73" t="s">
        <v>177</v>
      </c>
      <c r="N77" s="73" t="s">
        <v>177</v>
      </c>
      <c r="O77" s="73" t="s">
        <v>177</v>
      </c>
      <c r="P77" s="197"/>
      <c r="Q77" s="197"/>
      <c r="R77" s="197"/>
      <c r="S77" s="45"/>
      <c r="T77" s="45"/>
      <c r="U77" s="24"/>
      <c r="V77" s="154"/>
    </row>
    <row r="78" spans="1:22">
      <c r="A78" s="38" t="s">
        <v>71</v>
      </c>
      <c r="B78" s="320" t="s">
        <v>613</v>
      </c>
      <c r="C78" s="73" t="s">
        <v>613</v>
      </c>
      <c r="D78" s="73" t="s">
        <v>553</v>
      </c>
      <c r="E78" s="73" t="s">
        <v>553</v>
      </c>
      <c r="F78" s="73" t="s">
        <v>511</v>
      </c>
      <c r="G78" s="73" t="s">
        <v>511</v>
      </c>
      <c r="H78" s="73" t="s">
        <v>511</v>
      </c>
      <c r="I78" s="73" t="s">
        <v>382</v>
      </c>
      <c r="J78" s="73" t="s">
        <v>382</v>
      </c>
      <c r="K78" s="73" t="s">
        <v>382</v>
      </c>
      <c r="L78" s="73" t="s">
        <v>382</v>
      </c>
      <c r="M78" s="73" t="s">
        <v>178</v>
      </c>
      <c r="N78" s="73" t="s">
        <v>178</v>
      </c>
      <c r="O78" s="73" t="s">
        <v>178</v>
      </c>
      <c r="P78" s="197"/>
      <c r="Q78" s="197"/>
      <c r="R78" s="197"/>
      <c r="S78" s="45"/>
      <c r="T78" s="45"/>
      <c r="U78" s="24"/>
      <c r="V78" s="154"/>
    </row>
    <row r="79" spans="1:22">
      <c r="A79" s="38" t="s">
        <v>72</v>
      </c>
      <c r="B79" s="320" t="s">
        <v>244</v>
      </c>
      <c r="C79" s="73" t="s">
        <v>244</v>
      </c>
      <c r="D79" s="73" t="s">
        <v>244</v>
      </c>
      <c r="E79" s="73" t="s">
        <v>244</v>
      </c>
      <c r="F79" s="73" t="s">
        <v>244</v>
      </c>
      <c r="G79" s="73" t="s">
        <v>244</v>
      </c>
      <c r="H79" s="73" t="s">
        <v>244</v>
      </c>
      <c r="I79" s="73" t="s">
        <v>244</v>
      </c>
      <c r="J79" s="73" t="s">
        <v>244</v>
      </c>
      <c r="K79" s="73" t="s">
        <v>244</v>
      </c>
      <c r="L79" s="73" t="s">
        <v>244</v>
      </c>
      <c r="M79" s="73" t="s">
        <v>244</v>
      </c>
      <c r="N79" s="73" t="s">
        <v>244</v>
      </c>
      <c r="O79" s="73" t="s">
        <v>244</v>
      </c>
      <c r="P79" s="197"/>
      <c r="Q79" s="197"/>
      <c r="R79" s="197"/>
      <c r="S79" s="45"/>
      <c r="T79" s="45"/>
      <c r="U79" s="24"/>
      <c r="V79" s="154"/>
    </row>
    <row r="80" spans="1:22">
      <c r="A80" s="24"/>
      <c r="B80" s="320"/>
      <c r="C80" s="73"/>
      <c r="D80" s="73"/>
      <c r="E80" s="73"/>
      <c r="F80" s="73"/>
      <c r="G80" s="73"/>
      <c r="H80" s="73"/>
      <c r="I80" s="73"/>
      <c r="J80" s="73"/>
      <c r="K80" s="73"/>
      <c r="L80" s="73"/>
      <c r="M80" s="73"/>
      <c r="N80" s="73"/>
      <c r="O80" s="73"/>
      <c r="P80" s="197"/>
      <c r="Q80" s="197"/>
      <c r="R80" s="197"/>
      <c r="S80" s="45"/>
      <c r="T80" s="45"/>
      <c r="U80" s="154"/>
      <c r="V80" s="154"/>
    </row>
    <row r="81" spans="1:22">
      <c r="A81" s="19" t="s">
        <v>73</v>
      </c>
      <c r="B81" s="320"/>
      <c r="C81" s="73"/>
      <c r="D81" s="73"/>
      <c r="E81" s="73"/>
      <c r="F81" s="73"/>
      <c r="G81" s="73"/>
      <c r="H81" s="73"/>
      <c r="I81" s="73"/>
      <c r="J81" s="73"/>
      <c r="K81" s="73"/>
      <c r="L81" s="73"/>
      <c r="M81" s="73"/>
      <c r="N81" s="73"/>
      <c r="O81" s="73"/>
      <c r="P81" s="197"/>
      <c r="Q81" s="197"/>
      <c r="R81" s="197"/>
      <c r="S81" s="45"/>
      <c r="T81" s="45"/>
      <c r="U81" s="154"/>
      <c r="V81" s="154"/>
    </row>
    <row r="82" spans="1:22">
      <c r="A82" s="38" t="s">
        <v>74</v>
      </c>
      <c r="B82" s="320" t="s">
        <v>609</v>
      </c>
      <c r="C82" s="73" t="s">
        <v>609</v>
      </c>
      <c r="D82" s="73" t="s">
        <v>554</v>
      </c>
      <c r="E82" s="73" t="s">
        <v>554</v>
      </c>
      <c r="F82" s="73" t="s">
        <v>444</v>
      </c>
      <c r="G82" s="73" t="s">
        <v>444</v>
      </c>
      <c r="H82" s="73" t="s">
        <v>444</v>
      </c>
      <c r="I82" s="73" t="s">
        <v>444</v>
      </c>
      <c r="J82" s="73" t="s">
        <v>404</v>
      </c>
      <c r="K82" s="73" t="s">
        <v>378</v>
      </c>
      <c r="L82" s="73" t="s">
        <v>378</v>
      </c>
      <c r="M82" s="73" t="s">
        <v>378</v>
      </c>
      <c r="N82" s="73" t="s">
        <v>368</v>
      </c>
      <c r="O82" s="73" t="s">
        <v>368</v>
      </c>
      <c r="P82" s="197"/>
      <c r="Q82" s="197"/>
      <c r="R82" s="197"/>
      <c r="S82" s="45"/>
      <c r="T82" s="45"/>
      <c r="U82" s="154"/>
      <c r="V82" s="154"/>
    </row>
    <row r="83" spans="1:22">
      <c r="A83" s="38" t="s">
        <v>69</v>
      </c>
      <c r="B83" s="320" t="s">
        <v>611</v>
      </c>
      <c r="C83" s="73" t="s">
        <v>611</v>
      </c>
      <c r="D83" s="73" t="s">
        <v>555</v>
      </c>
      <c r="E83" s="73" t="s">
        <v>555</v>
      </c>
      <c r="F83" s="73" t="s">
        <v>445</v>
      </c>
      <c r="G83" s="73" t="s">
        <v>445</v>
      </c>
      <c r="H83" s="73" t="s">
        <v>445</v>
      </c>
      <c r="I83" s="73" t="s">
        <v>445</v>
      </c>
      <c r="J83" s="73" t="s">
        <v>405</v>
      </c>
      <c r="K83" s="73" t="s">
        <v>379</v>
      </c>
      <c r="L83" s="73" t="s">
        <v>379</v>
      </c>
      <c r="M83" s="73" t="s">
        <v>379</v>
      </c>
      <c r="N83" s="73" t="s">
        <v>369</v>
      </c>
      <c r="O83" s="73" t="s">
        <v>369</v>
      </c>
      <c r="P83" s="197"/>
      <c r="Q83" s="197"/>
      <c r="R83" s="197"/>
      <c r="S83" s="45"/>
      <c r="T83" s="45"/>
      <c r="U83" s="154"/>
      <c r="V83" s="154"/>
    </row>
    <row r="84" spans="1:22">
      <c r="A84" s="38" t="s">
        <v>70</v>
      </c>
      <c r="B84" s="320" t="s">
        <v>556</v>
      </c>
      <c r="C84" s="73" t="s">
        <v>556</v>
      </c>
      <c r="D84" s="73" t="s">
        <v>556</v>
      </c>
      <c r="E84" s="73" t="s">
        <v>556</v>
      </c>
      <c r="F84" s="73" t="s">
        <v>446</v>
      </c>
      <c r="G84" s="73" t="s">
        <v>446</v>
      </c>
      <c r="H84" s="73" t="s">
        <v>446</v>
      </c>
      <c r="I84" s="73" t="s">
        <v>446</v>
      </c>
      <c r="J84" s="73" t="s">
        <v>179</v>
      </c>
      <c r="K84" s="73" t="s">
        <v>179</v>
      </c>
      <c r="L84" s="73" t="s">
        <v>179</v>
      </c>
      <c r="M84" s="73" t="s">
        <v>179</v>
      </c>
      <c r="N84" s="73" t="s">
        <v>179</v>
      </c>
      <c r="O84" s="73" t="s">
        <v>179</v>
      </c>
      <c r="P84" s="197"/>
      <c r="Q84" s="197"/>
      <c r="R84" s="197"/>
      <c r="S84" s="45"/>
      <c r="T84" s="45"/>
      <c r="U84" s="154"/>
      <c r="V84" s="154"/>
    </row>
    <row r="85" spans="1:22" ht="36.75">
      <c r="A85" s="38" t="s">
        <v>75</v>
      </c>
      <c r="B85" s="321" t="s">
        <v>610</v>
      </c>
      <c r="C85" s="277" t="s">
        <v>610</v>
      </c>
      <c r="D85" s="277" t="s">
        <v>557</v>
      </c>
      <c r="E85" s="277" t="s">
        <v>557</v>
      </c>
      <c r="F85" s="277" t="s">
        <v>447</v>
      </c>
      <c r="G85" s="277" t="s">
        <v>447</v>
      </c>
      <c r="H85" s="277" t="s">
        <v>447</v>
      </c>
      <c r="I85" s="277" t="s">
        <v>447</v>
      </c>
      <c r="J85" s="277" t="s">
        <v>406</v>
      </c>
      <c r="K85" s="277" t="s">
        <v>380</v>
      </c>
      <c r="L85" s="277" t="s">
        <v>380</v>
      </c>
      <c r="M85" s="277" t="s">
        <v>380</v>
      </c>
      <c r="N85" s="277" t="s">
        <v>370</v>
      </c>
      <c r="O85" s="277" t="s">
        <v>370</v>
      </c>
      <c r="P85" s="197"/>
      <c r="Q85" s="197"/>
      <c r="R85" s="197"/>
      <c r="S85" s="45"/>
      <c r="T85" s="45"/>
      <c r="U85" s="154"/>
      <c r="V85" s="154"/>
    </row>
    <row r="86" spans="1:22">
      <c r="A86" s="38" t="s">
        <v>72</v>
      </c>
      <c r="B86" s="320" t="s">
        <v>308</v>
      </c>
      <c r="C86" s="73" t="s">
        <v>308</v>
      </c>
      <c r="D86" s="73" t="s">
        <v>244</v>
      </c>
      <c r="E86" s="73" t="s">
        <v>308</v>
      </c>
      <c r="F86" s="73" t="s">
        <v>180</v>
      </c>
      <c r="G86" s="73" t="s">
        <v>180</v>
      </c>
      <c r="H86" s="73" t="s">
        <v>180</v>
      </c>
      <c r="I86" s="73" t="s">
        <v>180</v>
      </c>
      <c r="J86" s="73" t="s">
        <v>180</v>
      </c>
      <c r="K86" s="73" t="s">
        <v>180</v>
      </c>
      <c r="L86" s="73" t="s">
        <v>180</v>
      </c>
      <c r="M86" s="73" t="s">
        <v>180</v>
      </c>
      <c r="N86" s="73" t="s">
        <v>180</v>
      </c>
      <c r="O86" s="73" t="s">
        <v>180</v>
      </c>
      <c r="P86" s="196"/>
      <c r="Q86" s="196"/>
      <c r="R86" s="196"/>
      <c r="S86" s="38"/>
      <c r="T86" s="24"/>
      <c r="U86" s="154"/>
      <c r="V86" s="154"/>
    </row>
    <row r="87" spans="1:22">
      <c r="A87" s="154"/>
      <c r="B87" s="154"/>
      <c r="C87" s="154"/>
      <c r="D87" s="154"/>
      <c r="E87" s="154"/>
      <c r="F87" s="154"/>
      <c r="G87" s="154"/>
      <c r="H87" s="154"/>
      <c r="I87" s="154"/>
      <c r="J87" s="154"/>
      <c r="K87" s="154"/>
      <c r="L87" s="154"/>
      <c r="M87" s="154"/>
      <c r="N87" s="154"/>
      <c r="O87" s="154"/>
      <c r="P87" s="154"/>
      <c r="Q87" s="154"/>
      <c r="R87" s="154"/>
      <c r="S87" s="154"/>
      <c r="T87" s="154"/>
      <c r="U87" s="154"/>
      <c r="V87" s="154"/>
    </row>
    <row r="88" spans="1:22" ht="30" customHeight="1">
      <c r="A88" s="326" t="s">
        <v>509</v>
      </c>
      <c r="B88" s="326"/>
      <c r="C88" s="326"/>
      <c r="D88" s="326"/>
      <c r="E88" s="326"/>
      <c r="F88" s="326"/>
      <c r="G88" s="326"/>
      <c r="H88" s="326"/>
      <c r="I88" s="326"/>
      <c r="J88" s="326"/>
      <c r="K88" s="326"/>
      <c r="L88" s="326"/>
      <c r="M88" s="326"/>
      <c r="N88" s="326"/>
      <c r="O88" s="326"/>
      <c r="P88" s="326"/>
      <c r="Q88" s="326"/>
      <c r="R88" s="326"/>
      <c r="S88" s="326"/>
      <c r="T88" s="326"/>
      <c r="U88" s="326"/>
      <c r="V88" s="154"/>
    </row>
    <row r="89" spans="1:22" ht="30" customHeight="1">
      <c r="A89" s="326" t="s">
        <v>645</v>
      </c>
      <c r="B89" s="326"/>
      <c r="C89" s="326"/>
      <c r="D89" s="326"/>
      <c r="E89" s="326"/>
      <c r="F89" s="326"/>
      <c r="G89" s="326"/>
      <c r="H89" s="326"/>
      <c r="I89" s="326"/>
      <c r="J89" s="326"/>
      <c r="K89" s="326"/>
      <c r="L89" s="326"/>
      <c r="M89" s="326"/>
      <c r="N89" s="326"/>
      <c r="O89" s="326"/>
      <c r="P89" s="326"/>
      <c r="Q89" s="326"/>
      <c r="R89" s="326"/>
      <c r="S89" s="326"/>
      <c r="T89" s="326"/>
      <c r="U89" s="326"/>
      <c r="V89" s="154"/>
    </row>
    <row r="90" spans="1:22" ht="30" customHeight="1">
      <c r="A90" s="326" t="s">
        <v>646</v>
      </c>
      <c r="B90" s="326"/>
      <c r="C90" s="326"/>
      <c r="D90" s="326"/>
      <c r="E90" s="326"/>
      <c r="F90" s="326"/>
      <c r="G90" s="326"/>
      <c r="H90" s="326"/>
      <c r="I90" s="326"/>
      <c r="J90" s="326"/>
      <c r="K90" s="326"/>
      <c r="L90" s="326"/>
      <c r="M90" s="326"/>
      <c r="N90" s="326"/>
      <c r="O90" s="326"/>
      <c r="P90" s="326"/>
      <c r="Q90" s="326"/>
      <c r="R90" s="326"/>
      <c r="S90" s="326"/>
      <c r="T90" s="326"/>
      <c r="U90" s="326"/>
      <c r="V90" s="154"/>
    </row>
    <row r="91" spans="1:22" ht="27.75" customHeight="1">
      <c r="A91" s="326" t="s">
        <v>649</v>
      </c>
      <c r="B91" s="326"/>
      <c r="C91" s="326"/>
      <c r="D91" s="326"/>
      <c r="E91" s="326"/>
      <c r="F91" s="326"/>
      <c r="G91" s="326"/>
      <c r="H91" s="326"/>
      <c r="I91" s="326"/>
      <c r="J91" s="326"/>
      <c r="K91" s="326"/>
      <c r="L91" s="326"/>
      <c r="M91" s="326"/>
      <c r="N91" s="326"/>
      <c r="O91" s="326"/>
      <c r="P91" s="326"/>
      <c r="Q91" s="326"/>
      <c r="R91" s="326"/>
      <c r="S91" s="326"/>
      <c r="T91" s="326"/>
      <c r="U91" s="326"/>
      <c r="V91" s="154"/>
    </row>
    <row r="92" spans="1:22" ht="18" customHeight="1">
      <c r="A92" s="326" t="s">
        <v>650</v>
      </c>
      <c r="B92" s="326"/>
      <c r="C92" s="326"/>
      <c r="D92" s="326"/>
      <c r="E92" s="326"/>
      <c r="F92" s="326"/>
      <c r="G92" s="326"/>
      <c r="H92" s="326"/>
      <c r="I92" s="326"/>
      <c r="J92" s="326"/>
      <c r="K92" s="326"/>
      <c r="L92" s="326"/>
      <c r="M92" s="326"/>
      <c r="N92" s="326"/>
      <c r="O92" s="326"/>
      <c r="P92" s="326"/>
      <c r="Q92" s="326"/>
      <c r="R92" s="326"/>
      <c r="S92" s="326"/>
      <c r="T92" s="326"/>
      <c r="U92" s="326"/>
      <c r="V92" s="154"/>
    </row>
    <row r="93" spans="1:22">
      <c r="A93" s="154"/>
      <c r="B93" s="154"/>
      <c r="C93" s="154"/>
      <c r="D93" s="154"/>
      <c r="E93" s="154"/>
      <c r="F93" s="154"/>
      <c r="G93" s="154"/>
      <c r="H93" s="154"/>
      <c r="I93" s="154"/>
      <c r="J93" s="154"/>
      <c r="K93" s="154"/>
      <c r="L93" s="154"/>
      <c r="M93" s="154"/>
      <c r="N93" s="154"/>
      <c r="O93" s="154"/>
      <c r="P93" s="154"/>
      <c r="Q93" s="154"/>
      <c r="R93" s="154"/>
      <c r="S93" s="154"/>
      <c r="T93" s="154"/>
      <c r="U93" s="154"/>
      <c r="V93" s="154"/>
    </row>
    <row r="94" spans="1:22">
      <c r="A94" s="154"/>
      <c r="B94" s="154"/>
      <c r="C94" s="154"/>
      <c r="D94" s="154"/>
      <c r="E94" s="154"/>
      <c r="F94" s="154"/>
      <c r="G94" s="154"/>
      <c r="H94" s="154"/>
      <c r="I94" s="154"/>
      <c r="J94" s="154"/>
      <c r="K94" s="154"/>
      <c r="L94" s="154"/>
      <c r="M94" s="154"/>
      <c r="N94" s="154"/>
      <c r="O94" s="154"/>
      <c r="P94" s="154"/>
      <c r="Q94" s="154"/>
      <c r="R94" s="154"/>
      <c r="S94" s="154"/>
      <c r="T94" s="154"/>
      <c r="U94" s="154"/>
      <c r="V94" s="154"/>
    </row>
    <row r="95" spans="1:22">
      <c r="A95" s="154"/>
      <c r="B95" s="154"/>
      <c r="C95" s="154"/>
      <c r="D95" s="154"/>
      <c r="E95" s="154"/>
      <c r="F95" s="154"/>
      <c r="G95" s="154"/>
      <c r="H95" s="154"/>
      <c r="I95" s="154"/>
      <c r="J95" s="154"/>
      <c r="K95" s="154"/>
      <c r="L95" s="154"/>
      <c r="M95" s="154"/>
      <c r="N95" s="154"/>
      <c r="O95" s="154"/>
      <c r="P95" s="154"/>
      <c r="Q95" s="154"/>
      <c r="R95" s="154"/>
      <c r="S95" s="154"/>
      <c r="T95" s="154"/>
      <c r="U95" s="154"/>
      <c r="V95" s="154"/>
    </row>
    <row r="96" spans="1:22">
      <c r="A96" s="154"/>
      <c r="B96" s="154"/>
      <c r="C96" s="154"/>
      <c r="D96" s="154"/>
      <c r="E96" s="154"/>
      <c r="F96" s="154"/>
      <c r="G96" s="154"/>
      <c r="H96" s="154"/>
      <c r="I96" s="154"/>
      <c r="J96" s="154"/>
      <c r="K96" s="154"/>
      <c r="L96" s="154"/>
      <c r="M96" s="154"/>
      <c r="N96" s="154"/>
      <c r="O96" s="154"/>
      <c r="P96" s="154"/>
      <c r="Q96" s="154"/>
      <c r="R96" s="154"/>
      <c r="S96" s="154"/>
      <c r="T96" s="154"/>
      <c r="U96" s="154"/>
      <c r="V96" s="154"/>
    </row>
    <row r="97" spans="1:22">
      <c r="A97" s="154"/>
      <c r="B97" s="154"/>
      <c r="C97" s="154"/>
      <c r="D97" s="154"/>
      <c r="E97" s="154"/>
      <c r="F97" s="154"/>
      <c r="G97" s="154"/>
      <c r="H97" s="154"/>
      <c r="I97" s="154"/>
      <c r="J97" s="154"/>
      <c r="K97" s="154"/>
      <c r="L97" s="154"/>
      <c r="M97" s="154"/>
      <c r="N97" s="154"/>
      <c r="O97" s="154"/>
      <c r="P97" s="154"/>
      <c r="Q97" s="154"/>
      <c r="R97" s="154"/>
      <c r="S97" s="154"/>
      <c r="T97" s="154"/>
      <c r="U97" s="154"/>
      <c r="V97" s="154"/>
    </row>
    <row r="98" spans="1:22">
      <c r="A98" s="154"/>
      <c r="B98" s="154"/>
      <c r="C98" s="154"/>
      <c r="D98" s="154"/>
      <c r="E98" s="154"/>
      <c r="F98" s="154"/>
      <c r="G98" s="154"/>
      <c r="H98" s="154"/>
      <c r="I98" s="154"/>
      <c r="J98" s="154"/>
      <c r="K98" s="154"/>
      <c r="L98" s="154"/>
      <c r="M98" s="154"/>
      <c r="N98" s="154"/>
      <c r="O98" s="154"/>
      <c r="P98" s="154"/>
      <c r="Q98" s="154"/>
      <c r="R98" s="154"/>
      <c r="S98" s="154"/>
      <c r="T98" s="154"/>
      <c r="U98" s="154"/>
      <c r="V98" s="154"/>
    </row>
    <row r="99" spans="1:22">
      <c r="A99" s="154"/>
      <c r="B99" s="154"/>
      <c r="C99" s="154"/>
      <c r="D99" s="154"/>
      <c r="E99" s="154"/>
      <c r="F99" s="154"/>
      <c r="G99" s="154"/>
      <c r="H99" s="154"/>
      <c r="I99" s="154"/>
      <c r="J99" s="154"/>
      <c r="K99" s="154"/>
      <c r="L99" s="154"/>
      <c r="M99" s="154"/>
      <c r="N99" s="154"/>
      <c r="O99" s="154"/>
      <c r="P99" s="154"/>
      <c r="Q99" s="154"/>
      <c r="R99" s="154"/>
      <c r="S99" s="154"/>
      <c r="T99" s="154"/>
      <c r="U99" s="154"/>
      <c r="V99" s="154"/>
    </row>
    <row r="100" spans="1:22">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row>
    <row r="101" spans="1:22">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row>
    <row r="102" spans="1:22">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row>
    <row r="103" spans="1:22">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row>
    <row r="104" spans="1:22">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row>
    <row r="105" spans="1:22">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row>
    <row r="106" spans="1:22">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row>
    <row r="107" spans="1:22">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row>
    <row r="108" spans="1:22">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row>
    <row r="109" spans="1:22">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row>
    <row r="110" spans="1:22">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row>
    <row r="111" spans="1:22">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row>
    <row r="112" spans="1:22">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row>
    <row r="113" spans="1:22">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row>
    <row r="114" spans="1:22">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row>
    <row r="115" spans="1:22">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row>
    <row r="116" spans="1:22">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row>
    <row r="117" spans="1:22">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row>
    <row r="118" spans="1:22">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row>
    <row r="119" spans="1:22">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row>
    <row r="120" spans="1:22">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row>
    <row r="121" spans="1:22">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row>
    <row r="122" spans="1:22">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row>
    <row r="123" spans="1:22">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row>
    <row r="124" spans="1:22">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row>
    <row r="125" spans="1:22">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row>
    <row r="126" spans="1:22">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row>
    <row r="127" spans="1:22">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row>
    <row r="128" spans="1:22">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row>
    <row r="129" spans="1:22">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row>
    <row r="130" spans="1:22">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row>
    <row r="131" spans="1:22">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row>
    <row r="132" spans="1:22">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row>
    <row r="133" spans="1:22">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row>
    <row r="134" spans="1:22">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row>
    <row r="135" spans="1:22">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row>
    <row r="136" spans="1:22">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row>
    <row r="137" spans="1:22">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row>
    <row r="138" spans="1:22">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row>
    <row r="139" spans="1:22">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row>
    <row r="140" spans="1:22">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row>
    <row r="141" spans="1:22">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row>
    <row r="142" spans="1:22">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row>
    <row r="143" spans="1:22">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row>
    <row r="144" spans="1:22">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row>
    <row r="145" spans="1:22">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row>
    <row r="146" spans="1:22">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row>
    <row r="147" spans="1:22">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row>
    <row r="148" spans="1:22">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row>
    <row r="149" spans="1:22">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row>
    <row r="150" spans="1:22">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row>
    <row r="151" spans="1:22">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row>
    <row r="152" spans="1:22">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row>
    <row r="153" spans="1:22">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row>
    <row r="154" spans="1:22">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row>
    <row r="155" spans="1:22">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row>
    <row r="156" spans="1:22">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row>
    <row r="157" spans="1:22">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row>
    <row r="158" spans="1:22">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row>
    <row r="159" spans="1:22">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row>
    <row r="160" spans="1:22">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row>
    <row r="161" spans="1:22">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row>
    <row r="162" spans="1:22">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row>
    <row r="163" spans="1:22">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row>
    <row r="164" spans="1:22">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row>
    <row r="165" spans="1:22">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row>
    <row r="166" spans="1:22">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row>
    <row r="167" spans="1:22">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row>
    <row r="168" spans="1:22">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row>
    <row r="169" spans="1:22">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row>
    <row r="170" spans="1:22">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row>
    <row r="171" spans="1:22">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row>
    <row r="172" spans="1:22">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row>
    <row r="173" spans="1:22">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row>
    <row r="174" spans="1:22">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row>
    <row r="175" spans="1:22">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row>
    <row r="176" spans="1:22">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row>
    <row r="177" spans="1:22">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row>
    <row r="178" spans="1:22">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row>
    <row r="179" spans="1:22">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row>
    <row r="180" spans="1:22">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row>
    <row r="181" spans="1:22">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row>
    <row r="182" spans="1:22">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row>
    <row r="183" spans="1:22">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row>
    <row r="184" spans="1:22">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row>
    <row r="185" spans="1:22">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row>
    <row r="186" spans="1:22">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row>
    <row r="187" spans="1:22">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row>
    <row r="188" spans="1:22">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row>
    <row r="189" spans="1:22">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row>
    <row r="190" spans="1:22">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row>
    <row r="191" spans="1:22">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row>
    <row r="192" spans="1:22">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row>
    <row r="193" spans="1:22">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row>
    <row r="194" spans="1:22">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row>
    <row r="195" spans="1:22">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row>
    <row r="196" spans="1:22">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row>
    <row r="197" spans="1:22">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row>
    <row r="198" spans="1:22">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row>
    <row r="199" spans="1:22">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row>
    <row r="200" spans="1:22">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row>
    <row r="201" spans="1:22">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row>
    <row r="202" spans="1:22">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row>
    <row r="203" spans="1:22">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row>
    <row r="204" spans="1:22">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row>
    <row r="205" spans="1:22">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row>
    <row r="206" spans="1:22">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row>
    <row r="207" spans="1:22">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row>
    <row r="208" spans="1:22">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row>
    <row r="209" spans="1:22">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row>
    <row r="210" spans="1:22">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row>
    <row r="211" spans="1:22">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row>
    <row r="212" spans="1:22">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row>
    <row r="213" spans="1:22">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row>
    <row r="214" spans="1:22">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row>
    <row r="215" spans="1:22">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row>
  </sheetData>
  <sheetProtection formatCells="0" formatColumns="0" formatRows="0" insertColumns="0" insertRows="0" insertHyperlinks="0" deleteColumns="0" deleteRows="0" sort="0" autoFilter="0" pivotTables="0"/>
  <mergeCells count="5">
    <mergeCell ref="A92:U92"/>
    <mergeCell ref="A88:U88"/>
    <mergeCell ref="A91:U91"/>
    <mergeCell ref="A89:U89"/>
    <mergeCell ref="A90:U90"/>
  </mergeCells>
  <phoneticPr fontId="129" type="noConversion"/>
  <pageMargins left="0.38" right="0.3" top="0.36" bottom="0.24" header="0.31496062992125984" footer="0.16"/>
  <pageSetup paperSize="9" scale="38" orientation="landscape" r:id="rId1"/>
  <rowBreaks count="1" manualBreakCount="1">
    <brk id="55" max="15" man="1"/>
  </rowBreaks>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8"/>
  <sheetViews>
    <sheetView zoomScale="115" zoomScaleNormal="115" workbookViewId="0">
      <pane ySplit="2" topLeftCell="A3" activePane="bottomLeft" state="frozen"/>
      <selection pane="bottomLeft" activeCell="A2" sqref="A2"/>
    </sheetView>
  </sheetViews>
  <sheetFormatPr defaultColWidth="9.140625" defaultRowHeight="15"/>
  <cols>
    <col min="1" max="1" width="55" style="18" customWidth="1"/>
    <col min="2" max="2" width="10.42578125" style="18" customWidth="1"/>
    <col min="3" max="3" width="11.140625" style="18" customWidth="1"/>
    <col min="4" max="11" width="10.42578125" style="18" customWidth="1"/>
    <col min="12" max="12" width="11.28515625" style="18" customWidth="1"/>
    <col min="13" max="15" width="10.42578125" style="18" customWidth="1"/>
    <col min="16" max="16" width="5.42578125" style="18" customWidth="1"/>
    <col min="17" max="17" width="15.5703125" style="18" customWidth="1"/>
    <col min="18" max="18" width="5.42578125" style="18" customWidth="1"/>
    <col min="19" max="16384" width="9.140625" style="18"/>
  </cols>
  <sheetData>
    <row r="1" spans="1:17">
      <c r="A1" s="16" t="s">
        <v>76</v>
      </c>
      <c r="B1" s="16"/>
      <c r="C1" s="16"/>
      <c r="D1" s="16"/>
      <c r="E1" s="16"/>
      <c r="F1" s="16"/>
      <c r="G1" s="16"/>
      <c r="H1" s="16"/>
      <c r="I1" s="16"/>
      <c r="J1" s="16"/>
      <c r="K1" s="16"/>
      <c r="L1" s="16"/>
      <c r="M1" s="16"/>
      <c r="N1" s="16"/>
      <c r="O1" s="16"/>
      <c r="P1" s="17"/>
      <c r="Q1" s="17"/>
    </row>
    <row r="2" spans="1:17" ht="24.75">
      <c r="A2" s="19" t="s">
        <v>43</v>
      </c>
      <c r="B2" s="54" t="s">
        <v>705</v>
      </c>
      <c r="C2" s="54" t="s">
        <v>704</v>
      </c>
      <c r="D2" s="54" t="s">
        <v>663</v>
      </c>
      <c r="E2" s="54" t="s">
        <v>552</v>
      </c>
      <c r="F2" s="54" t="s">
        <v>526</v>
      </c>
      <c r="G2" s="54" t="s">
        <v>515</v>
      </c>
      <c r="H2" s="54" t="s">
        <v>662</v>
      </c>
      <c r="I2" s="54" t="s">
        <v>492</v>
      </c>
      <c r="J2" s="54" t="s">
        <v>493</v>
      </c>
      <c r="K2" s="54" t="s">
        <v>494</v>
      </c>
      <c r="L2" s="54" t="s">
        <v>661</v>
      </c>
      <c r="M2" s="54" t="s">
        <v>475</v>
      </c>
      <c r="N2" s="54" t="s">
        <v>474</v>
      </c>
      <c r="O2" s="54" t="s">
        <v>473</v>
      </c>
      <c r="P2" s="53"/>
      <c r="Q2" s="257" t="s">
        <v>633</v>
      </c>
    </row>
    <row r="3" spans="1:17">
      <c r="A3" s="21" t="s">
        <v>5</v>
      </c>
      <c r="B3" s="21"/>
      <c r="C3" s="21"/>
      <c r="D3" s="21"/>
      <c r="E3" s="21"/>
      <c r="F3" s="21"/>
      <c r="G3" s="21"/>
      <c r="H3" s="21"/>
      <c r="I3" s="21"/>
      <c r="J3" s="21"/>
      <c r="K3" s="21"/>
      <c r="L3" s="21"/>
      <c r="M3" s="21"/>
      <c r="N3" s="21"/>
      <c r="O3" s="21"/>
      <c r="P3" s="22"/>
      <c r="Q3" s="22"/>
    </row>
    <row r="4" spans="1:17">
      <c r="A4" s="55" t="s">
        <v>77</v>
      </c>
      <c r="B4" s="175">
        <v>7401.06</v>
      </c>
      <c r="C4" s="26">
        <v>7197.2510000000002</v>
      </c>
      <c r="D4" s="26">
        <v>7600.7259999999997</v>
      </c>
      <c r="E4" s="26">
        <v>7517.0020000000004</v>
      </c>
      <c r="F4" s="26">
        <v>7287.2209999999995</v>
      </c>
      <c r="G4" s="26">
        <v>7217.0460000000003</v>
      </c>
      <c r="H4" s="26">
        <v>9614.5020000000004</v>
      </c>
      <c r="I4" s="26">
        <v>9565.4130000000005</v>
      </c>
      <c r="J4" s="26">
        <v>9127.4290000000001</v>
      </c>
      <c r="K4" s="26">
        <v>9247.7049999999999</v>
      </c>
      <c r="L4" s="26">
        <v>9567.2579999999998</v>
      </c>
      <c r="M4" s="26">
        <v>9827.4310000000005</v>
      </c>
      <c r="N4" s="26">
        <v>9904.5490000000009</v>
      </c>
      <c r="O4" s="26">
        <v>9329.7109999999993</v>
      </c>
      <c r="P4" s="26"/>
      <c r="Q4" s="28">
        <v>2.8317617379191053E-2</v>
      </c>
    </row>
    <row r="5" spans="1:17">
      <c r="A5" s="55" t="s">
        <v>78</v>
      </c>
      <c r="B5" s="175">
        <v>1004.664</v>
      </c>
      <c r="C5" s="26">
        <v>1018.603</v>
      </c>
      <c r="D5" s="26">
        <v>820.57399999999996</v>
      </c>
      <c r="E5" s="26">
        <v>337.399</v>
      </c>
      <c r="F5" s="26">
        <v>384.11200000000002</v>
      </c>
      <c r="G5" s="26">
        <v>383.70699999999999</v>
      </c>
      <c r="H5" s="26">
        <v>384.80200000000002</v>
      </c>
      <c r="I5" s="26">
        <v>409.90300000000002</v>
      </c>
      <c r="J5" s="26">
        <v>431.81200000000001</v>
      </c>
      <c r="K5" s="26">
        <v>415.83199999999999</v>
      </c>
      <c r="L5" s="26">
        <v>204.81100000000001</v>
      </c>
      <c r="M5" s="26">
        <v>457.59800000000001</v>
      </c>
      <c r="N5" s="26">
        <v>312.30799999999999</v>
      </c>
      <c r="O5" s="26">
        <v>312.96699999999998</v>
      </c>
      <c r="P5" s="26"/>
      <c r="Q5" s="28">
        <v>-1.3684428575215237E-2</v>
      </c>
    </row>
    <row r="6" spans="1:17">
      <c r="A6" s="55" t="s">
        <v>507</v>
      </c>
      <c r="B6" s="175">
        <v>1014.713</v>
      </c>
      <c r="C6" s="26">
        <v>1015.539</v>
      </c>
      <c r="D6" s="26">
        <v>1010.17</v>
      </c>
      <c r="E6" s="26">
        <v>1022.515</v>
      </c>
      <c r="F6" s="26">
        <v>1014.8579999999999</v>
      </c>
      <c r="G6" s="26">
        <v>707.52599999999995</v>
      </c>
      <c r="H6" s="26">
        <v>403.19900000000001</v>
      </c>
      <c r="I6" s="129"/>
      <c r="J6" s="129"/>
      <c r="K6" s="129"/>
      <c r="L6" s="129"/>
      <c r="M6" s="129"/>
      <c r="N6" s="129"/>
      <c r="O6" s="129"/>
      <c r="P6" s="26"/>
      <c r="Q6" s="28">
        <v>-8.1336118061445381E-4</v>
      </c>
    </row>
    <row r="7" spans="1:17">
      <c r="A7" s="55" t="s">
        <v>79</v>
      </c>
      <c r="B7" s="175">
        <v>4831.5550000000003</v>
      </c>
      <c r="C7" s="26">
        <v>4661.5540000000001</v>
      </c>
      <c r="D7" s="26">
        <v>4358.3429999999998</v>
      </c>
      <c r="E7" s="26">
        <v>4199.384</v>
      </c>
      <c r="F7" s="26">
        <v>3958.7539999999999</v>
      </c>
      <c r="G7" s="26">
        <v>3875.886</v>
      </c>
      <c r="H7" s="26">
        <v>3695.4090000000001</v>
      </c>
      <c r="I7" s="26">
        <v>3636.3919999999998</v>
      </c>
      <c r="J7" s="26">
        <v>3329.7069999999999</v>
      </c>
      <c r="K7" s="26">
        <v>2896.98</v>
      </c>
      <c r="L7" s="26">
        <v>2703.703</v>
      </c>
      <c r="M7" s="26">
        <v>2458.7089999999998</v>
      </c>
      <c r="N7" s="26">
        <v>2102.6770000000001</v>
      </c>
      <c r="O7" s="26">
        <v>2065.384</v>
      </c>
      <c r="P7" s="26"/>
      <c r="Q7" s="28">
        <v>3.6468739823672575E-2</v>
      </c>
    </row>
    <row r="8" spans="1:17">
      <c r="A8" s="55" t="s">
        <v>455</v>
      </c>
      <c r="B8" s="175">
        <v>10577.868</v>
      </c>
      <c r="C8" s="26">
        <v>10387.055</v>
      </c>
      <c r="D8" s="26">
        <v>10114.394</v>
      </c>
      <c r="E8" s="26">
        <v>10031.306</v>
      </c>
      <c r="F8" s="26">
        <v>10084.967000000001</v>
      </c>
      <c r="G8" s="26">
        <v>10027.894</v>
      </c>
      <c r="H8" s="26">
        <v>9821.7880000000005</v>
      </c>
      <c r="I8" s="26">
        <v>9910.4549999999999</v>
      </c>
      <c r="J8" s="26">
        <v>10007.819</v>
      </c>
      <c r="K8" s="26">
        <v>10013.108</v>
      </c>
      <c r="L8" s="26">
        <v>9953.2520000000004</v>
      </c>
      <c r="M8" s="26">
        <v>10324.071</v>
      </c>
      <c r="N8" s="26">
        <v>10391.306</v>
      </c>
      <c r="O8" s="26">
        <v>10252.032999999999</v>
      </c>
      <c r="P8" s="26"/>
      <c r="Q8" s="28">
        <v>1.8370269532605739E-2</v>
      </c>
    </row>
    <row r="9" spans="1:17">
      <c r="A9" s="55" t="s">
        <v>456</v>
      </c>
      <c r="B9" s="175">
        <v>432.57499999999999</v>
      </c>
      <c r="C9" s="26">
        <v>622.18700000000001</v>
      </c>
      <c r="D9" s="26">
        <v>648.75699999999995</v>
      </c>
      <c r="E9" s="26">
        <v>742.08399999999995</v>
      </c>
      <c r="F9" s="26">
        <v>763.91300000000001</v>
      </c>
      <c r="G9" s="26">
        <v>803.64599999999996</v>
      </c>
      <c r="H9" s="26">
        <v>826.11500000000001</v>
      </c>
      <c r="I9" s="26">
        <v>922.28</v>
      </c>
      <c r="J9" s="26">
        <v>945.83100000000002</v>
      </c>
      <c r="K9" s="26">
        <v>977.52499999999998</v>
      </c>
      <c r="L9" s="26">
        <v>1041.0319999999999</v>
      </c>
      <c r="M9" s="26">
        <v>1170.597</v>
      </c>
      <c r="N9" s="26">
        <v>1144.1170000000002</v>
      </c>
      <c r="O9" s="26">
        <v>1177.7080000000001</v>
      </c>
      <c r="P9" s="26"/>
      <c r="Q9" s="28">
        <v>-0.30475082250191665</v>
      </c>
    </row>
    <row r="10" spans="1:17">
      <c r="A10" s="55" t="s">
        <v>472</v>
      </c>
      <c r="B10" s="175">
        <v>33.146999999999998</v>
      </c>
      <c r="C10" s="26">
        <v>35.515999999999998</v>
      </c>
      <c r="D10" s="26">
        <v>36.250999999999998</v>
      </c>
      <c r="E10" s="26">
        <v>50.170999999999999</v>
      </c>
      <c r="F10" s="26">
        <v>55.613999999999997</v>
      </c>
      <c r="G10" s="26">
        <v>62.320999999999998</v>
      </c>
      <c r="H10" s="26">
        <v>62.104999999999997</v>
      </c>
      <c r="I10" s="26">
        <v>71.204999999999998</v>
      </c>
      <c r="J10" s="26">
        <v>74.338999999999999</v>
      </c>
      <c r="K10" s="26">
        <v>83.06</v>
      </c>
      <c r="L10" s="26">
        <v>85.099000000000004</v>
      </c>
      <c r="M10" s="26">
        <v>88.513999999999996</v>
      </c>
      <c r="N10" s="26">
        <v>102.04</v>
      </c>
      <c r="O10" s="26">
        <v>101.813</v>
      </c>
      <c r="P10" s="26"/>
      <c r="Q10" s="28">
        <v>-6.6702331343619775E-2</v>
      </c>
    </row>
    <row r="11" spans="1:17">
      <c r="A11" s="55" t="s">
        <v>559</v>
      </c>
      <c r="B11" s="175">
        <v>1807.931</v>
      </c>
      <c r="C11" s="26">
        <v>1902.498</v>
      </c>
      <c r="D11" s="26">
        <v>1871.2329999999999</v>
      </c>
      <c r="E11" s="26">
        <v>1950.9469999999999</v>
      </c>
      <c r="F11" s="26">
        <v>1916.731</v>
      </c>
      <c r="G11" s="26">
        <v>1862.6469999999999</v>
      </c>
      <c r="H11" s="26">
        <v>1820.6569999999999</v>
      </c>
      <c r="I11" s="26">
        <v>1835.992</v>
      </c>
      <c r="J11" s="26">
        <v>1789.7</v>
      </c>
      <c r="K11" s="26">
        <v>1752.5940000000001</v>
      </c>
      <c r="L11" s="26">
        <v>1733.3856403502036</v>
      </c>
      <c r="M11" s="26">
        <v>1870.1210000000001</v>
      </c>
      <c r="N11" s="26">
        <v>1876.328</v>
      </c>
      <c r="O11" s="26">
        <v>1867.2859999999998</v>
      </c>
      <c r="P11" s="26"/>
      <c r="Q11" s="28">
        <v>-4.9706753962422037E-2</v>
      </c>
    </row>
    <row r="12" spans="1:17">
      <c r="A12" s="55" t="s">
        <v>80</v>
      </c>
      <c r="B12" s="175">
        <v>0</v>
      </c>
      <c r="C12" s="26">
        <v>0</v>
      </c>
      <c r="D12" s="26">
        <v>23.143000000000001</v>
      </c>
      <c r="E12" s="26">
        <v>12.29</v>
      </c>
      <c r="F12" s="26">
        <v>0</v>
      </c>
      <c r="G12" s="26">
        <v>0</v>
      </c>
      <c r="H12" s="26">
        <v>0</v>
      </c>
      <c r="I12" s="26">
        <v>0</v>
      </c>
      <c r="J12" s="26">
        <v>0</v>
      </c>
      <c r="K12" s="26">
        <v>0</v>
      </c>
      <c r="L12" s="26">
        <v>-1E-3</v>
      </c>
      <c r="M12" s="26">
        <v>-1.999999999981128E-3</v>
      </c>
      <c r="N12" s="26">
        <v>10.407999999999987</v>
      </c>
      <c r="O12" s="26">
        <v>10.407999999999959</v>
      </c>
      <c r="P12" s="26"/>
      <c r="Q12" s="28">
        <v>0</v>
      </c>
    </row>
    <row r="13" spans="1:17" ht="15.75" thickBot="1">
      <c r="A13" s="19" t="s">
        <v>81</v>
      </c>
      <c r="B13" s="176">
        <v>27103.512999999999</v>
      </c>
      <c r="C13" s="206">
        <v>26840.203000000001</v>
      </c>
      <c r="D13" s="206">
        <v>26483.591</v>
      </c>
      <c r="E13" s="206">
        <v>25863.098000000002</v>
      </c>
      <c r="F13" s="206">
        <v>25466.17</v>
      </c>
      <c r="G13" s="206">
        <v>24940.672999999999</v>
      </c>
      <c r="H13" s="206">
        <v>26628.577000000001</v>
      </c>
      <c r="I13" s="206">
        <v>26351.64</v>
      </c>
      <c r="J13" s="206">
        <v>25706.636999999999</v>
      </c>
      <c r="K13" s="206">
        <v>25386.804</v>
      </c>
      <c r="L13" s="206">
        <v>25288.539640350205</v>
      </c>
      <c r="M13" s="206">
        <v>26197.039000000001</v>
      </c>
      <c r="N13" s="206">
        <v>25843.733</v>
      </c>
      <c r="O13" s="206">
        <v>25117.31</v>
      </c>
      <c r="P13" s="30"/>
      <c r="Q13" s="159">
        <v>9.8102834766189227E-3</v>
      </c>
    </row>
    <row r="14" spans="1:17" ht="15.75" thickTop="1">
      <c r="A14" s="19"/>
      <c r="B14" s="30"/>
      <c r="C14" s="30"/>
      <c r="D14" s="30"/>
      <c r="E14" s="30"/>
      <c r="F14" s="239"/>
      <c r="G14" s="239"/>
      <c r="H14" s="239"/>
      <c r="I14" s="239"/>
      <c r="J14" s="239"/>
      <c r="K14" s="239"/>
      <c r="L14" s="239"/>
      <c r="M14" s="239"/>
      <c r="N14" s="30"/>
      <c r="O14" s="30"/>
      <c r="P14" s="30"/>
      <c r="Q14" s="161"/>
    </row>
    <row r="15" spans="1:17">
      <c r="A15" s="38" t="s">
        <v>82</v>
      </c>
      <c r="B15" s="175">
        <v>502.18700000000001</v>
      </c>
      <c r="C15" s="26">
        <v>430.18</v>
      </c>
      <c r="D15" s="26">
        <v>364.23099999999999</v>
      </c>
      <c r="E15" s="26">
        <v>380.75599999999997</v>
      </c>
      <c r="F15" s="26">
        <v>405.43799999999999</v>
      </c>
      <c r="G15" s="26">
        <v>395.79</v>
      </c>
      <c r="H15" s="26">
        <v>471.55599999999998</v>
      </c>
      <c r="I15" s="26">
        <v>442.75400000000002</v>
      </c>
      <c r="J15" s="26">
        <v>448.71300000000002</v>
      </c>
      <c r="K15" s="26">
        <v>481.03699999999998</v>
      </c>
      <c r="L15" s="26">
        <v>507.65800000000002</v>
      </c>
      <c r="M15" s="26">
        <v>518.85900000000004</v>
      </c>
      <c r="N15" s="26">
        <v>492.02199999999999</v>
      </c>
      <c r="O15" s="26">
        <v>532.51599999999996</v>
      </c>
      <c r="P15" s="26"/>
      <c r="Q15" s="28">
        <v>0.16738807011018644</v>
      </c>
    </row>
    <row r="16" spans="1:17">
      <c r="A16" s="55" t="s">
        <v>83</v>
      </c>
      <c r="B16" s="175">
        <v>0</v>
      </c>
      <c r="C16" s="26">
        <v>0</v>
      </c>
      <c r="D16" s="26">
        <v>0</v>
      </c>
      <c r="E16" s="26">
        <v>0</v>
      </c>
      <c r="F16" s="26">
        <v>0</v>
      </c>
      <c r="G16" s="26">
        <v>310.30799999999999</v>
      </c>
      <c r="H16" s="26">
        <v>2043.8679999999999</v>
      </c>
      <c r="I16" s="26">
        <v>2023.424</v>
      </c>
      <c r="J16" s="26">
        <v>2004.48</v>
      </c>
      <c r="K16" s="26">
        <v>1988.452</v>
      </c>
      <c r="L16" s="26">
        <v>1976.674</v>
      </c>
      <c r="M16" s="26">
        <v>2951.5940000000001</v>
      </c>
      <c r="N16" s="26">
        <v>2954.808</v>
      </c>
      <c r="O16" s="26">
        <v>2962.1</v>
      </c>
      <c r="P16" s="26"/>
      <c r="Q16" s="28">
        <v>0</v>
      </c>
    </row>
    <row r="17" spans="1:17">
      <c r="A17" s="55" t="s">
        <v>84</v>
      </c>
      <c r="B17" s="175">
        <v>0</v>
      </c>
      <c r="C17" s="26">
        <v>0</v>
      </c>
      <c r="D17" s="26">
        <v>0</v>
      </c>
      <c r="E17" s="26">
        <v>0</v>
      </c>
      <c r="F17" s="26">
        <v>0</v>
      </c>
      <c r="G17" s="26">
        <v>0</v>
      </c>
      <c r="H17" s="26">
        <v>0</v>
      </c>
      <c r="I17" s="26">
        <v>0</v>
      </c>
      <c r="J17" s="26">
        <v>0</v>
      </c>
      <c r="K17" s="26">
        <v>0</v>
      </c>
      <c r="L17" s="26">
        <v>0</v>
      </c>
      <c r="M17" s="26">
        <v>0</v>
      </c>
      <c r="N17" s="26">
        <v>0</v>
      </c>
      <c r="O17" s="26">
        <v>0</v>
      </c>
      <c r="P17" s="26"/>
      <c r="Q17" s="28">
        <v>0</v>
      </c>
    </row>
    <row r="18" spans="1:17">
      <c r="A18" s="55" t="s">
        <v>8</v>
      </c>
      <c r="B18" s="175">
        <v>20903.113000000001</v>
      </c>
      <c r="C18" s="26">
        <v>20702.361000000001</v>
      </c>
      <c r="D18" s="26">
        <v>20519.276000000002</v>
      </c>
      <c r="E18" s="26">
        <v>19988.552</v>
      </c>
      <c r="F18" s="26">
        <v>19722.691999999999</v>
      </c>
      <c r="G18" s="26">
        <v>19259.887999999999</v>
      </c>
      <c r="H18" s="26">
        <v>19336.915000000001</v>
      </c>
      <c r="I18" s="26">
        <v>19267.145</v>
      </c>
      <c r="J18" s="26">
        <v>19166.154999999999</v>
      </c>
      <c r="K18" s="26">
        <v>18973.589</v>
      </c>
      <c r="L18" s="26">
        <v>18998.319</v>
      </c>
      <c r="M18" s="26">
        <v>18792.064999999999</v>
      </c>
      <c r="N18" s="26">
        <v>18450.216</v>
      </c>
      <c r="O18" s="26">
        <v>17659.505000000001</v>
      </c>
      <c r="P18" s="26"/>
      <c r="Q18" s="28">
        <v>9.697058224421861E-3</v>
      </c>
    </row>
    <row r="19" spans="1:17">
      <c r="A19" s="55" t="s">
        <v>85</v>
      </c>
      <c r="B19" s="175">
        <v>992.13800000000003</v>
      </c>
      <c r="C19" s="26">
        <v>1000.487</v>
      </c>
      <c r="D19" s="26">
        <v>989.43499999999995</v>
      </c>
      <c r="E19" s="26">
        <v>975.83399999999995</v>
      </c>
      <c r="F19" s="26">
        <v>970.79</v>
      </c>
      <c r="G19" s="26">
        <v>672.54200000000003</v>
      </c>
      <c r="H19" s="26">
        <v>671.63199999999995</v>
      </c>
      <c r="I19" s="26">
        <v>644.28099999999995</v>
      </c>
      <c r="J19" s="26">
        <v>291.976</v>
      </c>
      <c r="K19" s="26">
        <v>300.25799999999998</v>
      </c>
      <c r="L19" s="26">
        <v>297.63600000000002</v>
      </c>
      <c r="M19" s="26">
        <v>0</v>
      </c>
      <c r="N19" s="26">
        <v>0</v>
      </c>
      <c r="O19" s="26">
        <v>0</v>
      </c>
      <c r="P19" s="26"/>
      <c r="Q19" s="28">
        <v>-8.3449360161600636E-3</v>
      </c>
    </row>
    <row r="20" spans="1:17">
      <c r="A20" s="55" t="s">
        <v>182</v>
      </c>
      <c r="B20" s="175">
        <v>316.44499999999999</v>
      </c>
      <c r="C20" s="26">
        <v>311.67099999999999</v>
      </c>
      <c r="D20" s="26">
        <v>307.13799999999998</v>
      </c>
      <c r="E20" s="26">
        <v>321.755</v>
      </c>
      <c r="F20" s="26">
        <v>313.00900000000001</v>
      </c>
      <c r="G20" s="26">
        <v>308.84100000000001</v>
      </c>
      <c r="H20" s="26">
        <v>306.78699999999998</v>
      </c>
      <c r="I20" s="26">
        <v>314.98899999999998</v>
      </c>
      <c r="J20" s="26">
        <v>309.34800000000001</v>
      </c>
      <c r="K20" s="26">
        <v>307.11599999999999</v>
      </c>
      <c r="L20" s="26">
        <v>302.10399999999998</v>
      </c>
      <c r="M20" s="26">
        <v>616.32399999999996</v>
      </c>
      <c r="N20" s="26">
        <v>610.63599999999997</v>
      </c>
      <c r="O20" s="26">
        <v>611.13699999999994</v>
      </c>
      <c r="P20" s="26"/>
      <c r="Q20" s="28">
        <v>1.5317434089151705E-2</v>
      </c>
    </row>
    <row r="21" spans="1:17">
      <c r="A21" s="55" t="s">
        <v>87</v>
      </c>
      <c r="B21" s="175">
        <v>1574.72</v>
      </c>
      <c r="C21" s="26">
        <v>1454.4110000000001</v>
      </c>
      <c r="D21" s="26">
        <v>1473.444</v>
      </c>
      <c r="E21" s="26">
        <v>1445.3050000000001</v>
      </c>
      <c r="F21" s="26">
        <v>1424.59</v>
      </c>
      <c r="G21" s="26">
        <v>1370.61</v>
      </c>
      <c r="H21" s="26">
        <v>1309.4780000000001</v>
      </c>
      <c r="I21" s="26">
        <v>1293.7819999999999</v>
      </c>
      <c r="J21" s="26">
        <v>1242.778</v>
      </c>
      <c r="K21" s="26">
        <v>1194.2909999999999</v>
      </c>
      <c r="L21" s="26">
        <v>1157.5832299520359</v>
      </c>
      <c r="M21" s="26">
        <v>1277.3109999999999</v>
      </c>
      <c r="N21" s="26">
        <v>1243.4369999999963</v>
      </c>
      <c r="O21" s="26">
        <v>1260.508</v>
      </c>
      <c r="P21" s="26"/>
      <c r="Q21" s="28">
        <v>8.2720083937758968E-2</v>
      </c>
    </row>
    <row r="22" spans="1:17">
      <c r="A22" s="55" t="s">
        <v>88</v>
      </c>
      <c r="B22" s="175">
        <v>0</v>
      </c>
      <c r="C22" s="26">
        <v>0</v>
      </c>
      <c r="D22" s="26">
        <v>0</v>
      </c>
      <c r="E22" s="26">
        <v>0</v>
      </c>
      <c r="F22" s="26">
        <v>0</v>
      </c>
      <c r="G22" s="26">
        <v>0</v>
      </c>
      <c r="H22" s="26">
        <v>0</v>
      </c>
      <c r="I22" s="26">
        <v>0</v>
      </c>
      <c r="J22" s="26">
        <v>0</v>
      </c>
      <c r="K22" s="26">
        <v>0</v>
      </c>
      <c r="L22" s="26">
        <v>0</v>
      </c>
      <c r="M22" s="26">
        <v>0</v>
      </c>
      <c r="N22" s="26">
        <v>0</v>
      </c>
      <c r="O22" s="26">
        <v>0</v>
      </c>
      <c r="P22" s="26"/>
      <c r="Q22" s="28">
        <v>0</v>
      </c>
    </row>
    <row r="23" spans="1:17">
      <c r="A23" s="56" t="s">
        <v>89</v>
      </c>
      <c r="B23" s="177">
        <v>24288.602999999999</v>
      </c>
      <c r="C23" s="30">
        <v>23899.11</v>
      </c>
      <c r="D23" s="30">
        <v>23653.524000000001</v>
      </c>
      <c r="E23" s="30">
        <v>23112.202000000001</v>
      </c>
      <c r="F23" s="30">
        <v>22836.519</v>
      </c>
      <c r="G23" s="30">
        <v>22317.978999999999</v>
      </c>
      <c r="H23" s="30">
        <v>24140.236000000001</v>
      </c>
      <c r="I23" s="30">
        <v>23986.375</v>
      </c>
      <c r="J23" s="30">
        <v>23463.45</v>
      </c>
      <c r="K23" s="30">
        <v>23244.742999999999</v>
      </c>
      <c r="L23" s="30">
        <v>23239.974229952037</v>
      </c>
      <c r="M23" s="30">
        <v>24156.152999999998</v>
      </c>
      <c r="N23" s="30">
        <v>23751.118999999999</v>
      </c>
      <c r="O23" s="30">
        <v>23025.766</v>
      </c>
      <c r="P23" s="30"/>
      <c r="Q23" s="28">
        <v>1.6297385132751745E-2</v>
      </c>
    </row>
    <row r="24" spans="1:17">
      <c r="A24" s="166" t="s">
        <v>442</v>
      </c>
      <c r="B24" s="175">
        <v>2793.5790000000002</v>
      </c>
      <c r="C24" s="26">
        <v>2920.1669999999999</v>
      </c>
      <c r="D24" s="26">
        <v>2809.873</v>
      </c>
      <c r="E24" s="26">
        <v>2728.0839999999998</v>
      </c>
      <c r="F24" s="26">
        <v>2607.3820000000001</v>
      </c>
      <c r="G24" s="26">
        <v>2600.8759999999997</v>
      </c>
      <c r="H24" s="26">
        <v>2467.08</v>
      </c>
      <c r="I24" s="26">
        <v>2341.27</v>
      </c>
      <c r="J24" s="26">
        <v>2219.9760000000001</v>
      </c>
      <c r="K24" s="26">
        <v>2119.2020000000002</v>
      </c>
      <c r="L24" s="26">
        <v>2026.2661206748</v>
      </c>
      <c r="M24" s="26">
        <v>2016.5930000000001</v>
      </c>
      <c r="N24" s="26">
        <v>2069.5189999999998</v>
      </c>
      <c r="O24" s="26">
        <v>2069.288</v>
      </c>
      <c r="P24" s="57"/>
      <c r="Q24" s="28">
        <v>-4.3349575555096588E-2</v>
      </c>
    </row>
    <row r="25" spans="1:17">
      <c r="A25" s="55" t="s">
        <v>90</v>
      </c>
      <c r="B25" s="175">
        <v>21.331</v>
      </c>
      <c r="C25" s="26">
        <v>20.925999999999998</v>
      </c>
      <c r="D25" s="26">
        <v>20.193999999999999</v>
      </c>
      <c r="E25" s="26">
        <v>22.812000000000001</v>
      </c>
      <c r="F25" s="26">
        <v>22.268999999999998</v>
      </c>
      <c r="G25" s="26">
        <v>21.818000000000001</v>
      </c>
      <c r="H25" s="26">
        <v>21.260999999999999</v>
      </c>
      <c r="I25" s="26">
        <v>23.995000000000001</v>
      </c>
      <c r="J25" s="26">
        <v>23.210999999999999</v>
      </c>
      <c r="K25" s="26">
        <v>22.859000000000002</v>
      </c>
      <c r="L25" s="26">
        <v>22.3</v>
      </c>
      <c r="M25" s="26">
        <v>24.292999999999999</v>
      </c>
      <c r="N25" s="26">
        <v>23.094999999999999</v>
      </c>
      <c r="O25" s="26">
        <v>22.256</v>
      </c>
      <c r="P25" s="57"/>
      <c r="Q25" s="28">
        <v>1.9353913791455662E-2</v>
      </c>
    </row>
    <row r="26" spans="1:17">
      <c r="A26" s="56" t="s">
        <v>91</v>
      </c>
      <c r="B26" s="177">
        <v>2814.9100000000003</v>
      </c>
      <c r="C26" s="30">
        <v>2941.0929999999998</v>
      </c>
      <c r="D26" s="30">
        <v>2830.067</v>
      </c>
      <c r="E26" s="30">
        <v>2750.8960000000002</v>
      </c>
      <c r="F26" s="30">
        <v>2629.6509999999998</v>
      </c>
      <c r="G26" s="30">
        <v>2622.694</v>
      </c>
      <c r="H26" s="30">
        <v>2488.3409999999999</v>
      </c>
      <c r="I26" s="30">
        <v>2365.2649999999999</v>
      </c>
      <c r="J26" s="30">
        <v>2243.1869999999999</v>
      </c>
      <c r="K26" s="30">
        <v>2142.0610000000001</v>
      </c>
      <c r="L26" s="30">
        <v>2048.5661206748005</v>
      </c>
      <c r="M26" s="30">
        <v>2040.886</v>
      </c>
      <c r="N26" s="30">
        <v>2092.614</v>
      </c>
      <c r="O26" s="30">
        <v>2091.5439999999999</v>
      </c>
      <c r="P26" s="57"/>
      <c r="Q26" s="28">
        <v>-4.2903437599558919E-2</v>
      </c>
    </row>
    <row r="27" spans="1:17" ht="15.75" thickBot="1">
      <c r="A27" s="56" t="s">
        <v>92</v>
      </c>
      <c r="B27" s="176">
        <v>27103.512999999999</v>
      </c>
      <c r="C27" s="206">
        <v>26840.203000000001</v>
      </c>
      <c r="D27" s="206">
        <v>26483.591</v>
      </c>
      <c r="E27" s="206">
        <v>25863.098000000002</v>
      </c>
      <c r="F27" s="206">
        <v>25466.17</v>
      </c>
      <c r="G27" s="206">
        <v>24940.672999999999</v>
      </c>
      <c r="H27" s="206">
        <v>26628.577000000001</v>
      </c>
      <c r="I27" s="206">
        <v>26351.64</v>
      </c>
      <c r="J27" s="206">
        <v>25706.636999999999</v>
      </c>
      <c r="K27" s="206">
        <v>25386.804</v>
      </c>
      <c r="L27" s="206">
        <v>25288.540350626838</v>
      </c>
      <c r="M27" s="206">
        <v>26197.039000000001</v>
      </c>
      <c r="N27" s="206">
        <v>25843.733</v>
      </c>
      <c r="O27" s="206">
        <v>25117.31</v>
      </c>
      <c r="P27" s="57"/>
      <c r="Q27" s="159">
        <v>9.8102834766189227E-3</v>
      </c>
    </row>
    <row r="28" spans="1:17" ht="15.75" thickTop="1">
      <c r="A28" s="56"/>
      <c r="B28" s="56"/>
      <c r="C28" s="56"/>
      <c r="D28" s="56"/>
      <c r="E28" s="56"/>
      <c r="F28" s="56"/>
      <c r="G28" s="56"/>
      <c r="H28" s="56"/>
      <c r="I28" s="56"/>
      <c r="J28" s="56"/>
      <c r="K28" s="56"/>
      <c r="L28" s="56"/>
      <c r="M28" s="56"/>
      <c r="N28" s="56"/>
      <c r="O28" s="56"/>
      <c r="P28" s="40"/>
      <c r="Q28" s="40"/>
    </row>
    <row r="29" spans="1:17">
      <c r="A29" s="21" t="s">
        <v>2</v>
      </c>
      <c r="B29" s="58"/>
      <c r="C29" s="58"/>
      <c r="D29" s="58"/>
      <c r="E29" s="58"/>
      <c r="F29" s="58"/>
      <c r="G29" s="58"/>
      <c r="H29" s="58"/>
      <c r="I29" s="58"/>
      <c r="J29" s="58"/>
      <c r="K29" s="58"/>
      <c r="L29" s="58"/>
      <c r="M29" s="58"/>
      <c r="N29" s="58"/>
      <c r="O29" s="58"/>
      <c r="P29" s="59"/>
      <c r="Q29" s="59"/>
    </row>
    <row r="30" spans="1:17" hidden="1">
      <c r="A30" s="56" t="s">
        <v>457</v>
      </c>
      <c r="B30" s="129"/>
      <c r="C30" s="129"/>
      <c r="D30" s="129"/>
      <c r="E30" s="129"/>
      <c r="F30" s="129"/>
      <c r="G30" s="129"/>
      <c r="H30" s="129"/>
      <c r="I30" s="129"/>
      <c r="J30" s="129"/>
      <c r="K30" s="129"/>
      <c r="L30" s="129"/>
      <c r="M30" s="129"/>
      <c r="N30" s="129"/>
      <c r="O30" s="129"/>
      <c r="P30" s="40"/>
      <c r="Q30" s="129"/>
    </row>
    <row r="31" spans="1:17" hidden="1">
      <c r="A31" s="56" t="s">
        <v>205</v>
      </c>
      <c r="B31" s="129"/>
      <c r="C31" s="129"/>
      <c r="D31" s="129"/>
      <c r="E31" s="129"/>
      <c r="F31" s="129"/>
      <c r="G31" s="129"/>
      <c r="H31" s="129"/>
      <c r="I31" s="129"/>
      <c r="J31" s="129"/>
      <c r="K31" s="129"/>
      <c r="L31" s="129"/>
      <c r="M31" s="129"/>
      <c r="N31" s="129"/>
      <c r="O31" s="129"/>
      <c r="P31" s="40"/>
      <c r="Q31" s="129"/>
    </row>
    <row r="32" spans="1:17" hidden="1">
      <c r="A32" s="56" t="s">
        <v>458</v>
      </c>
      <c r="B32" s="129"/>
      <c r="C32" s="129"/>
      <c r="D32" s="129"/>
      <c r="E32" s="129"/>
      <c r="F32" s="129"/>
      <c r="G32" s="129"/>
      <c r="H32" s="129"/>
      <c r="I32" s="129"/>
      <c r="J32" s="129"/>
      <c r="K32" s="129"/>
      <c r="L32" s="129"/>
      <c r="M32" s="129"/>
      <c r="N32" s="129"/>
      <c r="O32" s="129"/>
      <c r="P32" s="40"/>
      <c r="Q32" s="129"/>
    </row>
    <row r="33" spans="1:17">
      <c r="A33" s="56" t="s">
        <v>700</v>
      </c>
      <c r="B33" s="175">
        <v>188.22800000000001</v>
      </c>
      <c r="C33" s="26">
        <v>189.79400000000001</v>
      </c>
      <c r="D33" s="26">
        <v>201.107</v>
      </c>
      <c r="E33" s="26">
        <v>246.49599999999998</v>
      </c>
      <c r="F33" s="26">
        <v>293.57100000000003</v>
      </c>
      <c r="G33" s="26">
        <v>347.21699999999998</v>
      </c>
      <c r="H33" s="26">
        <v>365.45</v>
      </c>
      <c r="I33" s="26">
        <v>358.38499999999999</v>
      </c>
      <c r="J33" s="26">
        <v>371.09100000000001</v>
      </c>
      <c r="K33" s="26">
        <v>389.18599999999998</v>
      </c>
      <c r="L33" s="26">
        <v>410.56299999999999</v>
      </c>
      <c r="M33" s="26">
        <v>1018.463</v>
      </c>
      <c r="N33" s="26">
        <v>1167.6094226804123</v>
      </c>
      <c r="O33" s="26">
        <v>1247.3154226804124</v>
      </c>
      <c r="P33" s="40"/>
      <c r="Q33" s="28">
        <v>-8.251051139656693E-3</v>
      </c>
    </row>
    <row r="34" spans="1:17">
      <c r="A34" s="56" t="s">
        <v>701</v>
      </c>
      <c r="B34" s="178">
        <v>1.7438797166129449E-2</v>
      </c>
      <c r="C34" s="40">
        <v>1.7904251737403808E-2</v>
      </c>
      <c r="D34" s="40">
        <v>1.9487181673642176E-2</v>
      </c>
      <c r="E34" s="40">
        <v>2.4048179089159218E-2</v>
      </c>
      <c r="F34" s="40">
        <v>2.8453648694961753E-2</v>
      </c>
      <c r="G34" s="40">
        <v>3.3788073350571622E-2</v>
      </c>
      <c r="H34" s="40">
        <v>3.6291586737289529E-2</v>
      </c>
      <c r="I34" s="40">
        <v>3.5249660175744713E-2</v>
      </c>
      <c r="J34" s="40">
        <v>3.6107278288782914E-2</v>
      </c>
      <c r="K34" s="40">
        <v>3.7866586701597545E-2</v>
      </c>
      <c r="L34" s="40">
        <v>4.0182519068108269E-2</v>
      </c>
      <c r="M34" s="40">
        <v>9.3322502581695652E-2</v>
      </c>
      <c r="N34" s="40">
        <v>0.10569440034007335</v>
      </c>
      <c r="O34" s="40">
        <v>0.11376007372210729</v>
      </c>
      <c r="P34" s="40"/>
      <c r="Q34" s="40">
        <v>-4.6545457127435824E-4</v>
      </c>
    </row>
    <row r="35" spans="1:17">
      <c r="A35" s="56" t="s">
        <v>702</v>
      </c>
      <c r="B35" s="203">
        <v>1.2447731304059155</v>
      </c>
      <c r="C35" s="40">
        <v>1.21861947136389</v>
      </c>
      <c r="D35" s="40">
        <v>1.1109160452318394</v>
      </c>
      <c r="E35" s="40">
        <v>0.96007063597909392</v>
      </c>
      <c r="F35" s="40">
        <v>0.85365795834458047</v>
      </c>
      <c r="G35" s="40">
        <v>0.77017989269411968</v>
      </c>
      <c r="H35" s="40">
        <v>0.73124083015000763</v>
      </c>
      <c r="I35" s="40">
        <v>0.76603797021470688</v>
      </c>
      <c r="J35" s="40">
        <v>0.77513299673070846</v>
      </c>
      <c r="K35" s="40">
        <v>0.72564551280465006</v>
      </c>
      <c r="L35" s="40">
        <v>0.68596059769120721</v>
      </c>
      <c r="M35" s="40">
        <v>0.59918445311001767</v>
      </c>
      <c r="N35" s="40">
        <v>0.58002264354981636</v>
      </c>
      <c r="O35" s="40">
        <v>0.58851272202516425</v>
      </c>
      <c r="P35" s="40"/>
      <c r="Q35" s="40">
        <v>2.615365904202549E-2</v>
      </c>
    </row>
    <row r="36" spans="1:17">
      <c r="A36" s="19" t="s">
        <v>93</v>
      </c>
      <c r="B36" s="178">
        <v>0.50515337117490577</v>
      </c>
      <c r="C36" s="40">
        <v>0.50086843288517935</v>
      </c>
      <c r="D36" s="40">
        <v>0.49317744413730802</v>
      </c>
      <c r="E36" s="40">
        <v>0.50157342416303496</v>
      </c>
      <c r="F36" s="40">
        <v>0.51042428207514456</v>
      </c>
      <c r="G36" s="40">
        <v>0.51967739070828789</v>
      </c>
      <c r="H36" s="40">
        <v>0.50693690646991041</v>
      </c>
      <c r="I36" s="40">
        <v>0.51343807142969966</v>
      </c>
      <c r="J36" s="40">
        <v>0.52122149870673884</v>
      </c>
      <c r="K36" s="40">
        <v>0.52680665155623341</v>
      </c>
      <c r="L36" s="40">
        <v>0.52298433992159543</v>
      </c>
      <c r="M36" s="40">
        <v>0.54826980997063279</v>
      </c>
      <c r="N36" s="40">
        <v>0.56204156103223768</v>
      </c>
      <c r="O36" s="40">
        <v>0.57931167831441188</v>
      </c>
      <c r="P36" s="40"/>
      <c r="Q36" s="40">
        <v>4.2849382897264254E-3</v>
      </c>
    </row>
    <row r="37" spans="1:17" s="306" customFormat="1">
      <c r="A37" s="106" t="s">
        <v>664</v>
      </c>
      <c r="B37" s="304">
        <v>0.20625417207135965</v>
      </c>
      <c r="C37" s="305">
        <v>0.19733548891902705</v>
      </c>
      <c r="D37" s="305">
        <v>0.19156980034398646</v>
      </c>
      <c r="E37" s="305">
        <v>0.185521790058608</v>
      </c>
      <c r="F37" s="305">
        <v>0.18311360469588314</v>
      </c>
      <c r="G37" s="305">
        <v>0.17100000000000001</v>
      </c>
      <c r="H37" s="305">
        <v>0.17399999999999999</v>
      </c>
      <c r="I37" s="305">
        <v>0.15246852388252491</v>
      </c>
      <c r="J37" s="305">
        <v>0.156</v>
      </c>
      <c r="K37" s="305">
        <v>0.14099999999999999</v>
      </c>
      <c r="L37" s="305">
        <v>0.152</v>
      </c>
      <c r="M37" s="305">
        <v>0.14182978960040646</v>
      </c>
      <c r="N37" s="305">
        <v>0.14585116561298522</v>
      </c>
      <c r="O37" s="305">
        <v>0.14637447940558862</v>
      </c>
      <c r="P37" s="305"/>
      <c r="Q37" s="305">
        <v>8.9186831523326016E-3</v>
      </c>
    </row>
    <row r="38" spans="1:17" s="306" customFormat="1">
      <c r="A38" s="106" t="s">
        <v>665</v>
      </c>
      <c r="B38" s="304">
        <v>0.20296076385921841</v>
      </c>
      <c r="C38" s="305">
        <v>0.19422832558329381</v>
      </c>
      <c r="D38" s="305">
        <v>0.19140933135581517</v>
      </c>
      <c r="E38" s="305">
        <v>0.1853126629271937</v>
      </c>
      <c r="F38" s="305">
        <v>0.18294048078240252</v>
      </c>
      <c r="G38" s="305">
        <v>0.17100000000000001</v>
      </c>
      <c r="H38" s="305">
        <v>0.17299999999999999</v>
      </c>
      <c r="I38" s="305">
        <v>0.15162799305819213</v>
      </c>
      <c r="J38" s="305">
        <v>0.155</v>
      </c>
      <c r="K38" s="305">
        <v>0.14099999999999999</v>
      </c>
      <c r="L38" s="305">
        <v>0.14499999999999999</v>
      </c>
      <c r="M38" s="305">
        <v>0.13471457003441775</v>
      </c>
      <c r="N38" s="305">
        <v>0.13857521862313663</v>
      </c>
      <c r="O38" s="305">
        <v>0.1391915043877224</v>
      </c>
      <c r="P38" s="305"/>
      <c r="Q38" s="305">
        <v>8.7324382759245978E-3</v>
      </c>
    </row>
    <row r="39" spans="1:17" s="306" customFormat="1">
      <c r="A39" s="106" t="s">
        <v>666</v>
      </c>
      <c r="B39" s="304">
        <v>0.25833437481117899</v>
      </c>
      <c r="C39" s="305">
        <v>0.24799701939690907</v>
      </c>
      <c r="D39" s="305">
        <v>0.24022530234528189</v>
      </c>
      <c r="E39" s="305">
        <v>0.23740815482999197</v>
      </c>
      <c r="F39" s="305">
        <v>0.23349066647295513</v>
      </c>
      <c r="G39" s="305">
        <v>0.22</v>
      </c>
      <c r="H39" s="305">
        <v>0.224</v>
      </c>
      <c r="I39" s="305">
        <v>0.20393649330141905</v>
      </c>
      <c r="J39" s="305">
        <v>0.20699999999999999</v>
      </c>
      <c r="K39" s="305">
        <v>0.193</v>
      </c>
      <c r="L39" s="305">
        <v>0.20399999999999999</v>
      </c>
      <c r="M39" s="305">
        <v>0.19117614961360851</v>
      </c>
      <c r="N39" s="305">
        <v>0.19490597207420249</v>
      </c>
      <c r="O39" s="305">
        <v>0.19562306890447353</v>
      </c>
      <c r="P39" s="305"/>
      <c r="Q39" s="305">
        <v>1.0337355414269916E-2</v>
      </c>
    </row>
    <row r="40" spans="1:17">
      <c r="A40" s="19" t="s">
        <v>703</v>
      </c>
      <c r="B40" s="178">
        <v>0.10134126055984168</v>
      </c>
      <c r="C40" s="40">
        <v>0.10702906260297926</v>
      </c>
      <c r="D40" s="40">
        <v>0.1042202303438242</v>
      </c>
      <c r="E40" s="40">
        <v>0.10372438397848557</v>
      </c>
      <c r="F40" s="40">
        <v>0.1005921137505368</v>
      </c>
      <c r="G40" s="40">
        <v>0.10241367939231387</v>
      </c>
      <c r="H40" s="40">
        <v>9.0820656990646648E-2</v>
      </c>
      <c r="I40" s="40">
        <v>8.7105459294758741E-2</v>
      </c>
      <c r="J40" s="40">
        <v>8.4508547046579938E-2</v>
      </c>
      <c r="K40" s="40">
        <v>8.243005915608366E-2</v>
      </c>
      <c r="L40" s="40">
        <v>7.8048003985075651E-2</v>
      </c>
      <c r="M40" s="40">
        <v>7.3661841706411296E-2</v>
      </c>
      <c r="N40" s="40">
        <v>7.676771355501269E-2</v>
      </c>
      <c r="O40" s="40">
        <v>7.918854972437589E-2</v>
      </c>
      <c r="P40" s="40"/>
      <c r="Q40" s="40">
        <v>-5.6878020431375825E-3</v>
      </c>
    </row>
    <row r="41" spans="1:17">
      <c r="A41" s="24"/>
      <c r="B41" s="24"/>
      <c r="C41" s="24"/>
      <c r="D41" s="24"/>
      <c r="E41" s="24"/>
      <c r="F41" s="24"/>
      <c r="G41" s="24"/>
      <c r="H41" s="24"/>
      <c r="I41" s="24"/>
      <c r="J41" s="24"/>
      <c r="K41" s="24"/>
      <c r="L41" s="24"/>
      <c r="M41" s="24"/>
      <c r="N41" s="24"/>
      <c r="O41" s="24"/>
      <c r="P41" s="57"/>
      <c r="Q41" s="57"/>
    </row>
    <row r="42" spans="1:17">
      <c r="A42" s="21" t="s">
        <v>6</v>
      </c>
      <c r="B42" s="21"/>
      <c r="C42" s="21"/>
      <c r="D42" s="21"/>
      <c r="E42" s="21"/>
      <c r="F42" s="21"/>
      <c r="G42" s="21"/>
      <c r="H42" s="21"/>
      <c r="I42" s="21"/>
      <c r="J42" s="21"/>
      <c r="K42" s="21"/>
      <c r="L42" s="21"/>
      <c r="M42" s="21"/>
      <c r="N42" s="21"/>
      <c r="O42" s="21"/>
      <c r="P42" s="36"/>
      <c r="Q42" s="36"/>
    </row>
    <row r="43" spans="1:17">
      <c r="A43" s="38" t="s">
        <v>698</v>
      </c>
      <c r="B43" s="198">
        <v>234.63800000000001</v>
      </c>
      <c r="C43" s="225">
        <v>116.965</v>
      </c>
      <c r="D43" s="225">
        <v>508.17399999999998</v>
      </c>
      <c r="E43" s="225">
        <v>530.87</v>
      </c>
      <c r="F43" s="225">
        <v>407.87800000000004</v>
      </c>
      <c r="G43" s="225">
        <v>132.82599999999999</v>
      </c>
      <c r="H43" s="225">
        <v>487.21</v>
      </c>
      <c r="I43" s="225">
        <v>349.36400000000003</v>
      </c>
      <c r="J43" s="225">
        <v>220.24799999999999</v>
      </c>
      <c r="K43" s="225">
        <v>94.728999999999999</v>
      </c>
      <c r="L43" s="225">
        <v>56.56663376793491</v>
      </c>
      <c r="M43" s="225">
        <v>-18.529343613664988</v>
      </c>
      <c r="N43" s="225">
        <v>42.212175362053266</v>
      </c>
      <c r="O43" s="225">
        <v>17.222226371726855</v>
      </c>
      <c r="P43" s="57"/>
      <c r="Q43" s="28">
        <v>-2.5150367265271032E-3</v>
      </c>
    </row>
    <row r="44" spans="1:17">
      <c r="A44" s="38" t="s">
        <v>706</v>
      </c>
      <c r="B44" s="175">
        <v>438527.54319861875</v>
      </c>
      <c r="C44" s="26">
        <v>440081.02821666666</v>
      </c>
      <c r="D44" s="26">
        <v>444089.65813305997</v>
      </c>
      <c r="E44" s="26">
        <v>445081.32840620406</v>
      </c>
      <c r="F44" s="26">
        <v>445759.63232912088</v>
      </c>
      <c r="G44" s="26">
        <v>446057.74794999999</v>
      </c>
      <c r="H44" s="26">
        <v>446057.74794999999</v>
      </c>
      <c r="I44" s="26">
        <v>446057.74794999999</v>
      </c>
      <c r="J44" s="26">
        <v>446057.74794999999</v>
      </c>
      <c r="K44" s="26">
        <v>446057.74794999999</v>
      </c>
      <c r="L44" s="26">
        <v>446057.74794999999</v>
      </c>
      <c r="M44" s="26">
        <v>446057.74794999999</v>
      </c>
      <c r="N44" s="26">
        <v>446057.74794999999</v>
      </c>
      <c r="O44" s="26">
        <v>446057.74794999999</v>
      </c>
      <c r="P44" s="57"/>
      <c r="Q44" s="28">
        <v>-3.5299977014302893E-3</v>
      </c>
    </row>
    <row r="45" spans="1:17" ht="24">
      <c r="A45" s="61" t="s">
        <v>647</v>
      </c>
      <c r="B45" s="308">
        <v>53.505883639539299</v>
      </c>
      <c r="C45" s="309">
        <v>26.57809423347064</v>
      </c>
      <c r="D45" s="309">
        <v>114.43368711053286</v>
      </c>
      <c r="E45" s="309">
        <v>90.008158408196508</v>
      </c>
      <c r="F45" s="309">
        <v>60.649874715069259</v>
      </c>
      <c r="G45" s="309">
        <v>29.77</v>
      </c>
      <c r="H45" s="309">
        <v>109.23</v>
      </c>
      <c r="I45" s="309">
        <v>78.319999999999993</v>
      </c>
      <c r="J45" s="309">
        <v>49.38</v>
      </c>
      <c r="K45" s="39">
        <v>21.24</v>
      </c>
      <c r="L45" s="39">
        <v>0</v>
      </c>
      <c r="M45" s="39">
        <v>0</v>
      </c>
      <c r="N45" s="39">
        <v>0</v>
      </c>
      <c r="O45" s="39">
        <v>0</v>
      </c>
      <c r="P45" s="57"/>
      <c r="Q45" s="28">
        <v>1.0174272716830001E-3</v>
      </c>
    </row>
    <row r="46" spans="1:17" ht="24">
      <c r="A46" s="61" t="s">
        <v>648</v>
      </c>
      <c r="B46" s="308">
        <v>53.31638369004822</v>
      </c>
      <c r="C46" s="309">
        <v>26.48848846463261</v>
      </c>
      <c r="D46" s="309">
        <v>114.02353980175666</v>
      </c>
      <c r="E46" s="309">
        <v>89.694244391035042</v>
      </c>
      <c r="F46" s="309">
        <v>60.440038640464678</v>
      </c>
      <c r="G46" s="309">
        <v>29.681652895481015</v>
      </c>
      <c r="H46" s="309">
        <v>108.95692824972517</v>
      </c>
      <c r="I46" s="309">
        <v>78.129830493176627</v>
      </c>
      <c r="J46" s="309">
        <v>49.255004743804193</v>
      </c>
      <c r="K46" s="39">
        <v>21.184686974009118</v>
      </c>
      <c r="L46" s="129"/>
      <c r="M46" s="129"/>
      <c r="N46" s="129"/>
      <c r="O46" s="129"/>
      <c r="P46" s="57"/>
      <c r="Q46" s="28">
        <v>8.4642627110920882E-4</v>
      </c>
    </row>
    <row r="47" spans="1:17">
      <c r="A47" s="24"/>
      <c r="B47" s="57"/>
      <c r="C47" s="57"/>
      <c r="D47" s="57"/>
      <c r="E47" s="57"/>
      <c r="F47" s="57"/>
      <c r="G47" s="57"/>
      <c r="H47" s="57"/>
      <c r="I47" s="57"/>
      <c r="J47" s="57"/>
      <c r="K47" s="57"/>
      <c r="L47" s="57"/>
      <c r="M47" s="57"/>
      <c r="N47" s="57"/>
      <c r="O47" s="57"/>
      <c r="P47" s="57"/>
      <c r="Q47" s="57"/>
    </row>
    <row r="48" spans="1:17">
      <c r="A48" s="62" t="s">
        <v>83</v>
      </c>
      <c r="B48" s="64"/>
      <c r="C48" s="64"/>
      <c r="D48" s="64"/>
      <c r="E48" s="64"/>
      <c r="F48" s="64"/>
      <c r="G48" s="64"/>
      <c r="H48" s="64"/>
      <c r="I48" s="64"/>
      <c r="J48" s="64"/>
      <c r="K48" s="64"/>
      <c r="L48" s="64"/>
      <c r="M48" s="64"/>
      <c r="N48" s="64"/>
      <c r="O48" s="64"/>
      <c r="P48" s="64"/>
      <c r="Q48" s="64"/>
    </row>
    <row r="49" spans="1:17">
      <c r="A49" s="65" t="s">
        <v>95</v>
      </c>
      <c r="B49" s="60" t="s">
        <v>86</v>
      </c>
      <c r="C49" s="60" t="s">
        <v>86</v>
      </c>
      <c r="D49" s="60" t="s">
        <v>86</v>
      </c>
      <c r="E49" s="60" t="s">
        <v>86</v>
      </c>
      <c r="F49" s="60" t="s">
        <v>86</v>
      </c>
      <c r="G49" s="60" t="s">
        <v>86</v>
      </c>
      <c r="H49" s="60" t="s">
        <v>86</v>
      </c>
      <c r="I49" s="60" t="s">
        <v>86</v>
      </c>
      <c r="J49" s="60" t="s">
        <v>86</v>
      </c>
      <c r="K49" s="60" t="s">
        <v>86</v>
      </c>
      <c r="L49" s="60" t="s">
        <v>86</v>
      </c>
      <c r="M49" s="60" t="s">
        <v>86</v>
      </c>
      <c r="N49" s="60" t="s">
        <v>86</v>
      </c>
      <c r="O49" s="60" t="s">
        <v>86</v>
      </c>
      <c r="P49" s="60"/>
      <c r="Q49" s="28">
        <v>0</v>
      </c>
    </row>
    <row r="50" spans="1:17">
      <c r="A50" s="65" t="s">
        <v>96</v>
      </c>
      <c r="B50" s="60" t="s">
        <v>86</v>
      </c>
      <c r="C50" s="60" t="s">
        <v>86</v>
      </c>
      <c r="D50" s="60" t="s">
        <v>86</v>
      </c>
      <c r="E50" s="60" t="s">
        <v>86</v>
      </c>
      <c r="F50" s="60" t="s">
        <v>86</v>
      </c>
      <c r="G50" s="60" t="s">
        <v>86</v>
      </c>
      <c r="H50" s="60" t="s">
        <v>86</v>
      </c>
      <c r="I50" s="60" t="s">
        <v>86</v>
      </c>
      <c r="J50" s="60" t="s">
        <v>86</v>
      </c>
      <c r="K50" s="60" t="s">
        <v>86</v>
      </c>
      <c r="L50" s="60" t="s">
        <v>86</v>
      </c>
      <c r="M50" s="60" t="s">
        <v>86</v>
      </c>
      <c r="N50" s="60" t="s">
        <v>86</v>
      </c>
      <c r="O50" s="60" t="s">
        <v>86</v>
      </c>
      <c r="P50" s="60"/>
      <c r="Q50" s="28">
        <v>0</v>
      </c>
    </row>
    <row r="51" spans="1:17">
      <c r="A51" s="65" t="s">
        <v>97</v>
      </c>
      <c r="B51" s="60" t="s">
        <v>86</v>
      </c>
      <c r="C51" s="60" t="s">
        <v>86</v>
      </c>
      <c r="D51" s="60" t="s">
        <v>86</v>
      </c>
      <c r="E51" s="60" t="s">
        <v>86</v>
      </c>
      <c r="F51" s="60" t="s">
        <v>86</v>
      </c>
      <c r="G51" s="60" t="s">
        <v>86</v>
      </c>
      <c r="H51" s="60" t="s">
        <v>86</v>
      </c>
      <c r="I51" s="60" t="s">
        <v>86</v>
      </c>
      <c r="J51" s="60" t="s">
        <v>86</v>
      </c>
      <c r="K51" s="60" t="s">
        <v>86</v>
      </c>
      <c r="L51" s="60" t="s">
        <v>86</v>
      </c>
      <c r="M51" s="60" t="s">
        <v>86</v>
      </c>
      <c r="N51" s="60" t="s">
        <v>86</v>
      </c>
      <c r="O51" s="60" t="s">
        <v>86</v>
      </c>
      <c r="P51" s="60"/>
      <c r="Q51" s="28">
        <v>0</v>
      </c>
    </row>
    <row r="52" spans="1:17">
      <c r="A52" s="65" t="s">
        <v>98</v>
      </c>
      <c r="B52" s="258">
        <v>0</v>
      </c>
      <c r="C52" s="60">
        <v>0</v>
      </c>
      <c r="D52" s="60">
        <v>0</v>
      </c>
      <c r="E52" s="60">
        <v>0</v>
      </c>
      <c r="F52" s="60">
        <v>0</v>
      </c>
      <c r="G52" s="60">
        <v>310.30799999999999</v>
      </c>
      <c r="H52" s="60">
        <v>2043.8679999999999</v>
      </c>
      <c r="I52" s="60">
        <v>2023.424</v>
      </c>
      <c r="J52" s="60">
        <v>2004.48</v>
      </c>
      <c r="K52" s="60">
        <v>1988.452</v>
      </c>
      <c r="L52" s="60">
        <v>1976.674</v>
      </c>
      <c r="M52" s="60">
        <v>2951.5940000000001</v>
      </c>
      <c r="N52" s="60">
        <v>2954.8083337900002</v>
      </c>
      <c r="O52" s="60">
        <v>2962.1</v>
      </c>
      <c r="P52" s="60"/>
      <c r="Q52" s="28">
        <v>0</v>
      </c>
    </row>
    <row r="53" spans="1:17">
      <c r="A53" s="65" t="s">
        <v>667</v>
      </c>
      <c r="B53" s="272">
        <v>3.044</v>
      </c>
      <c r="C53" s="276">
        <v>3.2984</v>
      </c>
      <c r="D53" s="276">
        <v>3.0869</v>
      </c>
      <c r="E53" s="276">
        <v>3.1240000000000001</v>
      </c>
      <c r="F53" s="276">
        <v>3.0394999999999999</v>
      </c>
      <c r="G53" s="276">
        <v>3.1457999999999999</v>
      </c>
      <c r="H53" s="276">
        <v>3.5945999999999998</v>
      </c>
      <c r="I53" s="276">
        <v>3.5034999999999998</v>
      </c>
      <c r="J53" s="276">
        <v>3.1640999999999999</v>
      </c>
      <c r="K53" s="276">
        <v>3.0284</v>
      </c>
      <c r="L53" s="276">
        <v>2.9091999999999998</v>
      </c>
      <c r="M53" s="276">
        <v>2.9952999999999999</v>
      </c>
      <c r="N53" s="276">
        <v>2.9904999999999999</v>
      </c>
      <c r="O53" s="276">
        <v>2.9603999999999999</v>
      </c>
      <c r="P53" s="60"/>
      <c r="Q53" s="40">
        <v>-0.25439999999999996</v>
      </c>
    </row>
    <row r="54" spans="1:17">
      <c r="A54" s="65" t="s">
        <v>99</v>
      </c>
      <c r="B54" s="272">
        <v>1.6930000000000001</v>
      </c>
      <c r="C54" s="276">
        <v>1.6</v>
      </c>
      <c r="D54" s="276">
        <v>1.6234</v>
      </c>
      <c r="E54" s="276">
        <v>1.5745</v>
      </c>
      <c r="F54" s="276">
        <v>1.5639000000000001</v>
      </c>
      <c r="G54" s="276">
        <v>1.5527</v>
      </c>
      <c r="H54" s="276">
        <v>1.5848</v>
      </c>
      <c r="I54" s="276">
        <v>1.6163000000000001</v>
      </c>
      <c r="J54" s="276">
        <v>1.6519999999999999</v>
      </c>
      <c r="K54" s="276">
        <v>1.6</v>
      </c>
      <c r="L54" s="276">
        <v>1.68</v>
      </c>
      <c r="M54" s="276">
        <v>1.6</v>
      </c>
      <c r="N54" s="276">
        <v>1.6</v>
      </c>
      <c r="O54" s="276">
        <v>1.45</v>
      </c>
      <c r="P54" s="60"/>
      <c r="Q54" s="40">
        <v>9.2999999999999972E-2</v>
      </c>
    </row>
    <row r="55" spans="1:17">
      <c r="A55" s="66"/>
      <c r="B55" s="67"/>
      <c r="C55" s="67"/>
      <c r="D55" s="67"/>
      <c r="E55" s="67"/>
      <c r="F55" s="67"/>
      <c r="G55" s="67"/>
      <c r="H55" s="67"/>
      <c r="I55" s="67"/>
      <c r="J55" s="67"/>
      <c r="K55" s="67"/>
      <c r="L55" s="67"/>
      <c r="M55" s="67"/>
      <c r="N55" s="67"/>
      <c r="O55" s="67"/>
      <c r="P55" s="60"/>
      <c r="Q55" s="60"/>
    </row>
    <row r="56" spans="1:17">
      <c r="A56" s="62" t="s">
        <v>100</v>
      </c>
      <c r="B56" s="63"/>
      <c r="C56" s="63"/>
      <c r="D56" s="63"/>
      <c r="E56" s="63"/>
      <c r="F56" s="63"/>
      <c r="G56" s="63"/>
      <c r="H56" s="63"/>
      <c r="I56" s="63"/>
      <c r="J56" s="63"/>
      <c r="K56" s="63"/>
      <c r="L56" s="63"/>
      <c r="M56" s="63"/>
      <c r="N56" s="63"/>
      <c r="O56" s="63"/>
      <c r="P56" s="68"/>
      <c r="Q56" s="68"/>
    </row>
    <row r="57" spans="1:17">
      <c r="A57" s="69" t="s">
        <v>101</v>
      </c>
      <c r="B57" s="70"/>
      <c r="C57" s="70"/>
      <c r="D57" s="70"/>
      <c r="E57" s="70"/>
      <c r="F57" s="70"/>
      <c r="G57" s="70"/>
      <c r="H57" s="70"/>
      <c r="I57" s="70"/>
      <c r="J57" s="70"/>
      <c r="K57" s="70"/>
      <c r="L57" s="70"/>
      <c r="M57" s="70"/>
      <c r="N57" s="70"/>
      <c r="O57" s="70"/>
      <c r="P57" s="71"/>
      <c r="Q57" s="71"/>
    </row>
    <row r="58" spans="1:17">
      <c r="A58" s="65" t="s">
        <v>102</v>
      </c>
      <c r="B58" s="258">
        <v>11361.921</v>
      </c>
      <c r="C58" s="60">
        <v>10763.084000000001</v>
      </c>
      <c r="D58" s="60">
        <v>10737.484</v>
      </c>
      <c r="E58" s="60">
        <v>10377.994000000001</v>
      </c>
      <c r="F58" s="60">
        <v>10297.855</v>
      </c>
      <c r="G58" s="60">
        <v>9999.8529999999992</v>
      </c>
      <c r="H58" s="60">
        <v>10167.621999999999</v>
      </c>
      <c r="I58" s="60">
        <v>10376.781000000001</v>
      </c>
      <c r="J58" s="60">
        <v>10359.754999999999</v>
      </c>
      <c r="K58" s="60">
        <v>10398.585999999999</v>
      </c>
      <c r="L58" s="60">
        <v>10561.724</v>
      </c>
      <c r="M58" s="60">
        <v>10405.645</v>
      </c>
      <c r="N58" s="60">
        <v>10049.791999999999</v>
      </c>
      <c r="O58" s="60">
        <v>9318.8289999999997</v>
      </c>
      <c r="P58" s="60"/>
      <c r="Q58" s="28">
        <v>5.5638049466119513E-2</v>
      </c>
    </row>
    <row r="59" spans="1:17">
      <c r="A59" s="65" t="s">
        <v>103</v>
      </c>
      <c r="B59" s="259">
        <v>3212.4479999999999</v>
      </c>
      <c r="C59" s="238">
        <v>3106.3249999999998</v>
      </c>
      <c r="D59" s="238">
        <v>3091.4749999999999</v>
      </c>
      <c r="E59" s="238">
        <v>2985.9789999999998</v>
      </c>
      <c r="F59" s="238">
        <v>2995.7759999999998</v>
      </c>
      <c r="G59" s="238">
        <v>2948.6390000000001</v>
      </c>
      <c r="H59" s="238">
        <v>2979.2750000000001</v>
      </c>
      <c r="I59" s="238">
        <v>2933.7440000000001</v>
      </c>
      <c r="J59" s="238">
        <v>2948.8229999999999</v>
      </c>
      <c r="K59" s="238">
        <v>2888.6819999999998</v>
      </c>
      <c r="L59" s="238">
        <v>2840.346</v>
      </c>
      <c r="M59" s="238">
        <v>2705.4009999999998</v>
      </c>
      <c r="N59" s="238">
        <v>2640.1080000000002</v>
      </c>
      <c r="O59" s="238">
        <v>2517.0880000000002</v>
      </c>
      <c r="P59" s="60"/>
      <c r="Q59" s="28">
        <v>3.4163521202707395E-2</v>
      </c>
    </row>
    <row r="60" spans="1:17">
      <c r="A60" s="65" t="s">
        <v>104</v>
      </c>
      <c r="B60" s="259">
        <v>6328.7439999999997</v>
      </c>
      <c r="C60" s="238">
        <v>6832.9520000000002</v>
      </c>
      <c r="D60" s="238">
        <v>6690.317</v>
      </c>
      <c r="E60" s="238">
        <v>6624.5789999999997</v>
      </c>
      <c r="F60" s="238">
        <v>6429.0609999999997</v>
      </c>
      <c r="G60" s="238">
        <v>6311.3959999999997</v>
      </c>
      <c r="H60" s="238">
        <v>6190.018</v>
      </c>
      <c r="I60" s="238">
        <v>5956.62</v>
      </c>
      <c r="J60" s="238">
        <v>5857.5770000000002</v>
      </c>
      <c r="K60" s="238">
        <v>5686.3209999999999</v>
      </c>
      <c r="L60" s="238">
        <v>5596.2489999999998</v>
      </c>
      <c r="M60" s="238">
        <v>5681.0190000000002</v>
      </c>
      <c r="N60" s="238">
        <v>5760.3159999999998</v>
      </c>
      <c r="O60" s="238">
        <v>5823.5879999999997</v>
      </c>
      <c r="P60" s="60"/>
      <c r="Q60" s="28">
        <v>-7.3790654463839422E-2</v>
      </c>
    </row>
    <row r="61" spans="1:17" ht="15.75" thickBot="1">
      <c r="A61" s="65"/>
      <c r="B61" s="226">
        <v>20903.113000000001</v>
      </c>
      <c r="C61" s="226">
        <v>20702.361000000001</v>
      </c>
      <c r="D61" s="226">
        <v>20519.276000000002</v>
      </c>
      <c r="E61" s="226">
        <v>19988.552</v>
      </c>
      <c r="F61" s="226">
        <v>19722.691999999999</v>
      </c>
      <c r="G61" s="226">
        <v>19259.887999999999</v>
      </c>
      <c r="H61" s="226">
        <v>19336.915000000001</v>
      </c>
      <c r="I61" s="226">
        <v>19267.145</v>
      </c>
      <c r="J61" s="226">
        <v>19166.154999999999</v>
      </c>
      <c r="K61" s="226">
        <v>18973.589</v>
      </c>
      <c r="L61" s="226">
        <v>18998.319</v>
      </c>
      <c r="M61" s="226">
        <v>18792.065000000002</v>
      </c>
      <c r="N61" s="226">
        <v>18450.216</v>
      </c>
      <c r="O61" s="226">
        <v>17659.504999999997</v>
      </c>
      <c r="P61" s="60"/>
      <c r="Q61" s="159">
        <v>9.697058224421861E-3</v>
      </c>
    </row>
    <row r="62" spans="1:17" ht="15.75" thickTop="1">
      <c r="A62" s="66" t="s">
        <v>668</v>
      </c>
      <c r="B62" s="217"/>
      <c r="C62" s="217"/>
      <c r="D62" s="217"/>
      <c r="E62" s="217"/>
      <c r="F62" s="217"/>
      <c r="G62" s="217"/>
      <c r="H62" s="217"/>
      <c r="I62" s="217"/>
      <c r="J62" s="217"/>
      <c r="K62" s="217"/>
      <c r="L62" s="217"/>
      <c r="M62" s="217"/>
      <c r="N62" s="217"/>
      <c r="O62" s="217"/>
      <c r="P62" s="60"/>
      <c r="Q62" s="60"/>
    </row>
    <row r="63" spans="1:17">
      <c r="A63" s="65" t="s">
        <v>120</v>
      </c>
      <c r="B63" s="258">
        <v>20903.113000000001</v>
      </c>
      <c r="C63" s="60">
        <v>20702.361000000001</v>
      </c>
      <c r="D63" s="60">
        <v>20519.276000000002</v>
      </c>
      <c r="E63" s="60">
        <v>19988.552</v>
      </c>
      <c r="F63" s="60">
        <v>19722.691999999999</v>
      </c>
      <c r="G63" s="60">
        <v>19259.887999999999</v>
      </c>
      <c r="H63" s="60">
        <v>19336.915000000001</v>
      </c>
      <c r="I63" s="60">
        <v>19267.145</v>
      </c>
      <c r="J63" s="60">
        <v>19166.154999999999</v>
      </c>
      <c r="K63" s="60">
        <v>18973.589</v>
      </c>
      <c r="L63" s="60">
        <v>18998.319</v>
      </c>
      <c r="M63" s="60">
        <v>18792.065000000002</v>
      </c>
      <c r="N63" s="60">
        <v>18450.216</v>
      </c>
      <c r="O63" s="60">
        <v>17659.504999999997</v>
      </c>
      <c r="P63" s="60"/>
      <c r="Q63" s="28">
        <v>9.697058224421861E-3</v>
      </c>
    </row>
    <row r="64" spans="1:17">
      <c r="A64" s="65" t="s">
        <v>105</v>
      </c>
      <c r="B64" s="258"/>
      <c r="C64" s="60"/>
      <c r="D64" s="60"/>
      <c r="E64" s="60"/>
      <c r="F64" s="60"/>
      <c r="G64" s="60"/>
      <c r="H64" s="60"/>
      <c r="I64" s="60"/>
      <c r="J64" s="60"/>
      <c r="K64" s="60"/>
      <c r="L64" s="60"/>
      <c r="M64" s="60"/>
      <c r="N64" s="60"/>
      <c r="O64" s="60"/>
      <c r="P64" s="60"/>
      <c r="Q64" s="28">
        <v>0</v>
      </c>
    </row>
    <row r="65" spans="1:18">
      <c r="A65" s="65" t="s">
        <v>106</v>
      </c>
      <c r="B65" s="258"/>
      <c r="C65" s="60"/>
      <c r="D65" s="60"/>
      <c r="E65" s="60"/>
      <c r="F65" s="60"/>
      <c r="G65" s="60"/>
      <c r="H65" s="60"/>
      <c r="I65" s="60"/>
      <c r="J65" s="60"/>
      <c r="K65" s="60"/>
      <c r="L65" s="60"/>
      <c r="M65" s="60"/>
      <c r="N65" s="60"/>
      <c r="O65" s="60"/>
      <c r="P65" s="60"/>
      <c r="Q65" s="28">
        <v>0</v>
      </c>
    </row>
    <row r="66" spans="1:18">
      <c r="A66" s="65" t="s">
        <v>212</v>
      </c>
      <c r="B66" s="258"/>
      <c r="C66" s="60"/>
      <c r="D66" s="60"/>
      <c r="E66" s="60"/>
      <c r="F66" s="60"/>
      <c r="G66" s="60"/>
      <c r="H66" s="60"/>
      <c r="I66" s="60"/>
      <c r="J66" s="60"/>
      <c r="K66" s="60"/>
      <c r="L66" s="60"/>
      <c r="M66" s="60"/>
      <c r="N66" s="60"/>
      <c r="O66" s="60"/>
      <c r="P66" s="60"/>
      <c r="Q66" s="28">
        <v>0</v>
      </c>
    </row>
    <row r="67" spans="1:18" ht="15.75" thickBot="1">
      <c r="A67" s="65"/>
      <c r="B67" s="323">
        <v>20903.113000000001</v>
      </c>
      <c r="C67" s="226">
        <v>20702.361000000001</v>
      </c>
      <c r="D67" s="226">
        <v>20519.276000000002</v>
      </c>
      <c r="E67" s="226">
        <v>19988.552</v>
      </c>
      <c r="F67" s="226">
        <v>19722.691999999999</v>
      </c>
      <c r="G67" s="226">
        <v>19259.887999999999</v>
      </c>
      <c r="H67" s="226">
        <v>19336.915000000001</v>
      </c>
      <c r="I67" s="226">
        <v>19267.145</v>
      </c>
      <c r="J67" s="226">
        <v>19166.154999999999</v>
      </c>
      <c r="K67" s="226">
        <v>18973.589</v>
      </c>
      <c r="L67" s="226">
        <v>18998.319</v>
      </c>
      <c r="M67" s="226">
        <v>18792.065000000002</v>
      </c>
      <c r="N67" s="226">
        <v>18450.216</v>
      </c>
      <c r="O67" s="226">
        <v>17659.504999999997</v>
      </c>
      <c r="P67" s="60"/>
      <c r="Q67" s="159">
        <v>9.697058224421861E-3</v>
      </c>
    </row>
    <row r="68" spans="1:18" ht="15.75" thickTop="1">
      <c r="A68" s="66" t="s">
        <v>581</v>
      </c>
      <c r="B68" s="218"/>
      <c r="C68" s="218"/>
      <c r="D68" s="218"/>
      <c r="E68" s="218"/>
      <c r="F68" s="218"/>
      <c r="G68" s="218"/>
      <c r="H68" s="218"/>
      <c r="I68" s="218"/>
      <c r="J68" s="218"/>
      <c r="K68" s="218"/>
      <c r="L68" s="218"/>
      <c r="M68" s="218"/>
      <c r="N68" s="218"/>
      <c r="O68" s="218"/>
      <c r="P68" s="154"/>
      <c r="Q68" s="154"/>
      <c r="R68" s="154"/>
    </row>
    <row r="69" spans="1:18">
      <c r="A69" s="154" t="s">
        <v>120</v>
      </c>
      <c r="B69" s="258">
        <v>16930.801717343184</v>
      </c>
      <c r="C69" s="60">
        <v>16550.702000000001</v>
      </c>
      <c r="D69" s="60">
        <v>16422.0892278346</v>
      </c>
      <c r="E69" s="60">
        <v>16104.178039079501</v>
      </c>
      <c r="F69" s="60">
        <v>15798.934999999999</v>
      </c>
      <c r="G69" s="60">
        <v>15287.430999999999</v>
      </c>
      <c r="H69" s="60">
        <v>15355.445</v>
      </c>
      <c r="I69" s="129"/>
      <c r="J69" s="129"/>
      <c r="K69" s="129"/>
      <c r="L69" s="129"/>
      <c r="M69" s="129"/>
      <c r="N69" s="129"/>
      <c r="O69" s="129"/>
      <c r="P69" s="154"/>
      <c r="Q69" s="28">
        <v>2.2965776155185587E-2</v>
      </c>
      <c r="R69" s="154"/>
    </row>
    <row r="70" spans="1:18">
      <c r="A70" s="154" t="s">
        <v>582</v>
      </c>
      <c r="B70" s="258">
        <v>1503.2420322964599</v>
      </c>
      <c r="C70" s="60">
        <v>1527.4269999999999</v>
      </c>
      <c r="D70" s="60">
        <v>1558.4815264695999</v>
      </c>
      <c r="E70" s="60">
        <v>1501.14899528927</v>
      </c>
      <c r="F70" s="60">
        <v>1509.0329999999999</v>
      </c>
      <c r="G70" s="60">
        <v>1486.3630000000001</v>
      </c>
      <c r="H70" s="60">
        <v>1473.491</v>
      </c>
      <c r="I70" s="129"/>
      <c r="J70" s="129"/>
      <c r="K70" s="129"/>
      <c r="L70" s="129"/>
      <c r="M70" s="129"/>
      <c r="N70" s="129"/>
      <c r="O70" s="129"/>
      <c r="P70" s="154"/>
      <c r="Q70" s="28">
        <v>-1.5833796118269482E-2</v>
      </c>
      <c r="R70" s="154"/>
    </row>
    <row r="71" spans="1:18">
      <c r="A71" s="154" t="s">
        <v>105</v>
      </c>
      <c r="B71" s="258">
        <v>383.62098660120301</v>
      </c>
      <c r="C71" s="60">
        <v>372.94299999999998</v>
      </c>
      <c r="D71" s="60">
        <v>396.97190873798701</v>
      </c>
      <c r="E71" s="60">
        <v>415.19052126731998</v>
      </c>
      <c r="F71" s="60">
        <v>415.09500000000003</v>
      </c>
      <c r="G71" s="60">
        <v>398.41800000000001</v>
      </c>
      <c r="H71" s="60">
        <v>386.05700000000002</v>
      </c>
      <c r="I71" s="129"/>
      <c r="J71" s="129"/>
      <c r="K71" s="129"/>
      <c r="L71" s="129"/>
      <c r="M71" s="129"/>
      <c r="N71" s="129"/>
      <c r="O71" s="129"/>
      <c r="P71" s="154"/>
      <c r="Q71" s="28">
        <v>2.8631685274165306E-2</v>
      </c>
      <c r="R71" s="154"/>
    </row>
    <row r="72" spans="1:18">
      <c r="A72" s="154" t="s">
        <v>583</v>
      </c>
      <c r="B72" s="258">
        <v>120.071618226987</v>
      </c>
      <c r="C72" s="60">
        <v>131.708</v>
      </c>
      <c r="D72" s="60">
        <v>129.82304619463901</v>
      </c>
      <c r="E72" s="60">
        <v>123.922585561085</v>
      </c>
      <c r="F72" s="60">
        <v>146.429</v>
      </c>
      <c r="G72" s="60">
        <v>163.70500000000001</v>
      </c>
      <c r="H72" s="60">
        <v>166.673</v>
      </c>
      <c r="I72" s="129"/>
      <c r="J72" s="129"/>
      <c r="K72" s="129"/>
      <c r="L72" s="129"/>
      <c r="M72" s="129"/>
      <c r="N72" s="129"/>
      <c r="O72" s="129"/>
      <c r="P72" s="154"/>
      <c r="Q72" s="28">
        <v>-8.834984794403529E-2</v>
      </c>
      <c r="R72" s="154"/>
    </row>
    <row r="73" spans="1:18">
      <c r="A73" s="154" t="s">
        <v>584</v>
      </c>
      <c r="B73" s="258">
        <v>72.519659774292904</v>
      </c>
      <c r="C73" s="60">
        <v>81.319999999999993</v>
      </c>
      <c r="D73" s="60">
        <v>80.796005298128392</v>
      </c>
      <c r="E73" s="60">
        <v>75.539193828240201</v>
      </c>
      <c r="F73" s="60">
        <v>72.921000000000006</v>
      </c>
      <c r="G73" s="60">
        <v>76.700999999999993</v>
      </c>
      <c r="H73" s="60">
        <v>77.287999999999997</v>
      </c>
      <c r="I73" s="129"/>
      <c r="J73" s="129"/>
      <c r="K73" s="129"/>
      <c r="L73" s="129"/>
      <c r="M73" s="129"/>
      <c r="N73" s="129"/>
      <c r="O73" s="129"/>
      <c r="P73" s="154"/>
      <c r="Q73" s="28">
        <v>-0.10821864517593568</v>
      </c>
      <c r="R73" s="154"/>
    </row>
    <row r="74" spans="1:18">
      <c r="A74" s="154" t="s">
        <v>167</v>
      </c>
      <c r="B74" s="258">
        <v>25.9509485028962</v>
      </c>
      <c r="C74" s="60">
        <v>26.856999999999999</v>
      </c>
      <c r="D74" s="60">
        <v>38.408212933194399</v>
      </c>
      <c r="E74" s="60">
        <v>40.442965104436595</v>
      </c>
      <c r="F74" s="60">
        <v>24.853000000000002</v>
      </c>
      <c r="G74" s="60">
        <v>25.79</v>
      </c>
      <c r="H74" s="60">
        <v>29.728999999999999</v>
      </c>
      <c r="I74" s="129"/>
      <c r="J74" s="129"/>
      <c r="K74" s="129"/>
      <c r="L74" s="129"/>
      <c r="M74" s="129"/>
      <c r="N74" s="129"/>
      <c r="O74" s="129"/>
      <c r="P74" s="154"/>
      <c r="Q74" s="28">
        <v>-3.3736139446095978E-2</v>
      </c>
      <c r="R74" s="154"/>
    </row>
    <row r="75" spans="1:18">
      <c r="A75" s="154" t="s">
        <v>212</v>
      </c>
      <c r="B75" s="258">
        <v>76.730176098782408</v>
      </c>
      <c r="C75" s="60">
        <v>80.278000000000006</v>
      </c>
      <c r="D75" s="60">
        <v>88.70994166812541</v>
      </c>
      <c r="E75" s="60">
        <v>91.075797542612293</v>
      </c>
      <c r="F75" s="60">
        <v>98.498999999999995</v>
      </c>
      <c r="G75" s="60">
        <v>108.76</v>
      </c>
      <c r="H75" s="60">
        <v>128.489</v>
      </c>
      <c r="I75" s="129"/>
      <c r="J75" s="129"/>
      <c r="K75" s="129"/>
      <c r="L75" s="129"/>
      <c r="M75" s="129"/>
      <c r="N75" s="129"/>
      <c r="O75" s="129"/>
      <c r="P75" s="154"/>
      <c r="Q75" s="28">
        <v>-4.4194223837385055E-2</v>
      </c>
      <c r="R75" s="154"/>
    </row>
    <row r="76" spans="1:18">
      <c r="A76" s="154" t="s">
        <v>585</v>
      </c>
      <c r="B76" s="258">
        <v>176.967249970919</v>
      </c>
      <c r="C76" s="60">
        <v>195.815</v>
      </c>
      <c r="D76" s="60">
        <v>212.66192595290499</v>
      </c>
      <c r="E76" s="60">
        <v>197.332297050222</v>
      </c>
      <c r="F76" s="60">
        <v>197.37100000000001</v>
      </c>
      <c r="G76" s="60">
        <v>207.38200000000001</v>
      </c>
      <c r="H76" s="60">
        <v>183.316</v>
      </c>
      <c r="I76" s="129"/>
      <c r="J76" s="129"/>
      <c r="K76" s="129"/>
      <c r="L76" s="129"/>
      <c r="M76" s="129"/>
      <c r="N76" s="129"/>
      <c r="O76" s="129"/>
      <c r="P76" s="154"/>
      <c r="Q76" s="28">
        <v>-9.6252840839981604E-2</v>
      </c>
      <c r="R76" s="154"/>
    </row>
    <row r="77" spans="1:18">
      <c r="A77" s="154" t="s">
        <v>586</v>
      </c>
      <c r="B77" s="258">
        <v>1.4376123067347</v>
      </c>
      <c r="C77" s="60">
        <v>1.4710000000000001</v>
      </c>
      <c r="D77" s="60">
        <v>1.5833022171705</v>
      </c>
      <c r="E77" s="60">
        <v>1.7074808280102001</v>
      </c>
      <c r="F77" s="60">
        <v>2.766</v>
      </c>
      <c r="G77" s="60">
        <v>3.4260000000000002</v>
      </c>
      <c r="H77" s="60">
        <v>3.762</v>
      </c>
      <c r="I77" s="129"/>
      <c r="J77" s="129"/>
      <c r="K77" s="129"/>
      <c r="L77" s="129"/>
      <c r="M77" s="129"/>
      <c r="N77" s="129"/>
      <c r="O77" s="129"/>
      <c r="P77" s="154"/>
      <c r="Q77" s="28">
        <v>-2.2697276183072813E-2</v>
      </c>
      <c r="R77" s="154"/>
    </row>
    <row r="78" spans="1:18">
      <c r="A78" s="154" t="s">
        <v>587</v>
      </c>
      <c r="B78" s="258">
        <v>211.41550763148999</v>
      </c>
      <c r="C78" s="60">
        <v>320.33600000000001</v>
      </c>
      <c r="D78" s="60">
        <v>214.54739992982101</v>
      </c>
      <c r="E78" s="60">
        <v>181.842729904284</v>
      </c>
      <c r="F78" s="60">
        <v>174.65700000000001</v>
      </c>
      <c r="G78" s="60">
        <v>169.703</v>
      </c>
      <c r="H78" s="60">
        <v>195.58</v>
      </c>
      <c r="I78" s="129"/>
      <c r="J78" s="129"/>
      <c r="K78" s="129"/>
      <c r="L78" s="129"/>
      <c r="M78" s="129"/>
      <c r="N78" s="129"/>
      <c r="O78" s="129"/>
      <c r="P78" s="154"/>
      <c r="Q78" s="28">
        <v>-0.3400195181575284</v>
      </c>
      <c r="R78" s="154"/>
    </row>
    <row r="79" spans="1:18">
      <c r="A79" s="154" t="s">
        <v>588</v>
      </c>
      <c r="B79" s="258">
        <v>1400.3554912262612</v>
      </c>
      <c r="C79" s="60">
        <v>1413.5039999999999</v>
      </c>
      <c r="D79" s="60">
        <v>1375.2035022944908</v>
      </c>
      <c r="E79" s="60">
        <v>1256.171395018154</v>
      </c>
      <c r="F79" s="60">
        <v>1282.133</v>
      </c>
      <c r="G79" s="60">
        <v>1332.2090000000001</v>
      </c>
      <c r="H79" s="60">
        <v>1337.085</v>
      </c>
      <c r="I79" s="129"/>
      <c r="J79" s="129"/>
      <c r="K79" s="129"/>
      <c r="L79" s="129"/>
      <c r="M79" s="129"/>
      <c r="N79" s="129"/>
      <c r="O79" s="129"/>
      <c r="P79" s="154"/>
      <c r="Q79" s="28">
        <v>-9.3020669016421181E-3</v>
      </c>
      <c r="R79" s="154"/>
    </row>
    <row r="80" spans="1:18" ht="15.75" thickBot="1">
      <c r="A80" s="154"/>
      <c r="B80" s="226">
        <v>20903.112999979214</v>
      </c>
      <c r="C80" s="226">
        <v>20702.360999999997</v>
      </c>
      <c r="D80" s="226">
        <v>20519.275999530662</v>
      </c>
      <c r="E80" s="226">
        <v>19988.552000473141</v>
      </c>
      <c r="F80" s="226">
        <v>19722.691999999999</v>
      </c>
      <c r="G80" s="226">
        <v>19259.888000000003</v>
      </c>
      <c r="H80" s="226">
        <v>19336.915000000001</v>
      </c>
      <c r="I80" s="129"/>
      <c r="J80" s="129"/>
      <c r="K80" s="129"/>
      <c r="L80" s="129"/>
      <c r="M80" s="129"/>
      <c r="N80" s="129"/>
      <c r="O80" s="129"/>
      <c r="P80" s="154"/>
      <c r="Q80" s="28">
        <v>9.6970582234179314E-3</v>
      </c>
      <c r="R80" s="154"/>
    </row>
    <row r="81" spans="1:18" ht="15.75" thickTop="1">
      <c r="A81" s="66" t="s">
        <v>656</v>
      </c>
      <c r="B81" s="218"/>
      <c r="C81" s="218"/>
      <c r="D81" s="218"/>
      <c r="E81" s="218"/>
      <c r="F81" s="218"/>
      <c r="G81" s="218"/>
      <c r="H81" s="218"/>
      <c r="I81" s="218"/>
      <c r="J81" s="218"/>
      <c r="K81" s="218"/>
      <c r="L81" s="218"/>
      <c r="M81" s="218"/>
      <c r="N81" s="218"/>
      <c r="O81" s="218"/>
      <c r="P81" s="154"/>
      <c r="Q81" s="154"/>
      <c r="R81" s="154"/>
    </row>
    <row r="82" spans="1:18">
      <c r="A82" s="154" t="s">
        <v>657</v>
      </c>
      <c r="B82" s="260">
        <v>12978.71</v>
      </c>
      <c r="C82" s="227">
        <v>12682.376</v>
      </c>
      <c r="D82" s="227">
        <v>12606.832</v>
      </c>
      <c r="E82" s="227">
        <v>12317.299000000001</v>
      </c>
      <c r="F82" s="227">
        <v>12406.164000000001</v>
      </c>
      <c r="G82" s="227">
        <v>12158.085999999999</v>
      </c>
      <c r="H82" s="227">
        <v>11791.4</v>
      </c>
      <c r="I82" s="227">
        <v>11682.056</v>
      </c>
      <c r="J82" s="227">
        <v>11680.246999999999</v>
      </c>
      <c r="K82" s="227">
        <v>11450.596</v>
      </c>
      <c r="L82" s="227">
        <v>11343.934999999999</v>
      </c>
      <c r="M82" s="227">
        <v>11125.04</v>
      </c>
      <c r="N82" s="227">
        <v>11456.516</v>
      </c>
      <c r="O82" s="227">
        <v>11220.439</v>
      </c>
      <c r="P82" s="154"/>
      <c r="Q82" s="28">
        <v>2.3365810948989284E-2</v>
      </c>
      <c r="R82" s="154"/>
    </row>
    <row r="83" spans="1:18">
      <c r="A83" s="154" t="s">
        <v>117</v>
      </c>
      <c r="B83" s="260">
        <v>1259.883</v>
      </c>
      <c r="C83" s="227">
        <v>1159.327</v>
      </c>
      <c r="D83" s="227">
        <v>1164.318</v>
      </c>
      <c r="E83" s="227">
        <v>1116.432</v>
      </c>
      <c r="F83" s="227">
        <v>1076.5889999999999</v>
      </c>
      <c r="G83" s="227">
        <v>1019.581</v>
      </c>
      <c r="H83" s="227">
        <v>1025.1990000000001</v>
      </c>
      <c r="I83" s="227">
        <v>1013.873</v>
      </c>
      <c r="J83" s="227">
        <v>969.57299999999998</v>
      </c>
      <c r="K83" s="227">
        <v>936.17499999999995</v>
      </c>
      <c r="L83" s="227">
        <v>1013.93</v>
      </c>
      <c r="M83" s="227">
        <v>953.40099999999995</v>
      </c>
      <c r="N83" s="227">
        <v>910.745</v>
      </c>
      <c r="O83" s="227">
        <v>863.91</v>
      </c>
      <c r="P83" s="154"/>
      <c r="Q83" s="28">
        <v>8.6736529037967747E-2</v>
      </c>
      <c r="R83" s="154"/>
    </row>
    <row r="84" spans="1:18">
      <c r="A84" s="154" t="s">
        <v>658</v>
      </c>
      <c r="B84" s="260">
        <v>265.02300000000002</v>
      </c>
      <c r="C84" s="227">
        <v>213.49600000000001</v>
      </c>
      <c r="D84" s="227">
        <v>174.37</v>
      </c>
      <c r="E84" s="227">
        <v>138.97999999999999</v>
      </c>
      <c r="F84" s="227">
        <v>137.97</v>
      </c>
      <c r="G84" s="227">
        <v>123.462</v>
      </c>
      <c r="H84" s="227">
        <v>121.45399999999999</v>
      </c>
      <c r="I84" s="227">
        <v>138.589</v>
      </c>
      <c r="J84" s="227">
        <v>131.04400000000001</v>
      </c>
      <c r="K84" s="227">
        <v>143.98699999999999</v>
      </c>
      <c r="L84" s="227">
        <v>139.898</v>
      </c>
      <c r="M84" s="227">
        <v>138.953</v>
      </c>
      <c r="N84" s="227">
        <v>108.29600000000001</v>
      </c>
      <c r="O84" s="227">
        <v>166.226</v>
      </c>
      <c r="P84" s="154"/>
      <c r="Q84" s="28">
        <v>0.24134878405216029</v>
      </c>
      <c r="R84" s="154"/>
    </row>
    <row r="85" spans="1:18">
      <c r="A85" s="154" t="s">
        <v>659</v>
      </c>
      <c r="B85" s="260">
        <v>3952.4760000000001</v>
      </c>
      <c r="C85" s="227">
        <v>4040.998</v>
      </c>
      <c r="D85" s="227">
        <v>4139.3680000000004</v>
      </c>
      <c r="E85" s="227">
        <v>3778.4349999999999</v>
      </c>
      <c r="F85" s="227">
        <v>3742.3029999999999</v>
      </c>
      <c r="G85" s="227">
        <v>3788.9160000000002</v>
      </c>
      <c r="H85" s="227">
        <v>3779.5709999999999</v>
      </c>
      <c r="I85" s="227">
        <v>3861.9180000000001</v>
      </c>
      <c r="J85" s="227">
        <v>3848.6529999999998</v>
      </c>
      <c r="K85" s="227">
        <v>3966.7530000000002</v>
      </c>
      <c r="L85" s="227">
        <v>3957.05</v>
      </c>
      <c r="M85" s="227">
        <v>3913.1770000000001</v>
      </c>
      <c r="N85" s="227">
        <v>3667.7829999999999</v>
      </c>
      <c r="O85" s="227">
        <v>3467.5059999999999</v>
      </c>
      <c r="P85" s="154"/>
      <c r="Q85" s="28">
        <v>-2.1905974712187418E-2</v>
      </c>
      <c r="R85" s="154"/>
    </row>
    <row r="86" spans="1:18">
      <c r="A86" s="154" t="s">
        <v>660</v>
      </c>
      <c r="B86" s="260">
        <v>2447.0209999999997</v>
      </c>
      <c r="C86" s="227">
        <v>2606.1640000000002</v>
      </c>
      <c r="D86" s="227">
        <v>2434.3879999999999</v>
      </c>
      <c r="E86" s="227">
        <v>2637.4059999999999</v>
      </c>
      <c r="F86" s="227">
        <v>2359.6660000000002</v>
      </c>
      <c r="G86" s="227">
        <v>2169.8429999999998</v>
      </c>
      <c r="H86" s="227">
        <v>2619.2910000000002</v>
      </c>
      <c r="I86" s="227">
        <v>2570.7089999999998</v>
      </c>
      <c r="J86" s="227">
        <v>2536.6379999999999</v>
      </c>
      <c r="K86" s="227">
        <v>2476.078</v>
      </c>
      <c r="L86" s="227">
        <v>2543.5059999999999</v>
      </c>
      <c r="M86" s="227">
        <v>2661.4940000000001</v>
      </c>
      <c r="N86" s="227">
        <v>2306.8760000000002</v>
      </c>
      <c r="O86" s="227">
        <v>1941.424</v>
      </c>
      <c r="P86" s="154"/>
      <c r="Q86" s="28">
        <v>-6.1064077318234954E-2</v>
      </c>
      <c r="R86" s="154"/>
    </row>
    <row r="87" spans="1:18" ht="15.75" thickBot="1">
      <c r="A87" s="154"/>
      <c r="B87" s="226">
        <v>20903.112999999998</v>
      </c>
      <c r="C87" s="226">
        <v>20702.361000000001</v>
      </c>
      <c r="D87" s="226">
        <v>20519.275999999998</v>
      </c>
      <c r="E87" s="226">
        <v>19988.552</v>
      </c>
      <c r="F87" s="226">
        <v>19722.692000000003</v>
      </c>
      <c r="G87" s="226">
        <v>19259.887999999999</v>
      </c>
      <c r="H87" s="226">
        <v>19336.915000000001</v>
      </c>
      <c r="I87" s="226">
        <v>19267.145</v>
      </c>
      <c r="J87" s="226">
        <v>19166.155000000002</v>
      </c>
      <c r="K87" s="226">
        <v>18973.589</v>
      </c>
      <c r="L87" s="226">
        <v>18998.319</v>
      </c>
      <c r="M87" s="226">
        <v>18792.064999999999</v>
      </c>
      <c r="N87" s="226">
        <v>18450.216</v>
      </c>
      <c r="O87" s="226">
        <v>17659.505000000001</v>
      </c>
      <c r="P87" s="173"/>
      <c r="Q87" s="159">
        <v>9.6970582244216858E-3</v>
      </c>
      <c r="R87" s="154"/>
    </row>
    <row r="88" spans="1:18" ht="15.75" thickTop="1">
      <c r="A88" s="66" t="s">
        <v>197</v>
      </c>
      <c r="B88" s="218"/>
      <c r="C88" s="218"/>
      <c r="D88" s="218"/>
      <c r="E88" s="218"/>
      <c r="F88" s="218"/>
      <c r="G88" s="218"/>
      <c r="H88" s="218"/>
      <c r="I88" s="218"/>
      <c r="J88" s="218"/>
      <c r="K88" s="218"/>
      <c r="L88" s="218"/>
      <c r="M88" s="218"/>
      <c r="N88" s="218"/>
      <c r="O88" s="218"/>
      <c r="P88" s="154"/>
      <c r="Q88" s="154"/>
      <c r="R88" s="154"/>
    </row>
    <row r="89" spans="1:18">
      <c r="A89" s="154" t="s">
        <v>198</v>
      </c>
      <c r="B89" s="260">
        <v>19125.781999999999</v>
      </c>
      <c r="C89" s="227">
        <v>18821.47</v>
      </c>
      <c r="D89" s="227">
        <v>18559.339</v>
      </c>
      <c r="E89" s="227">
        <v>18216.501</v>
      </c>
      <c r="F89" s="227">
        <v>17921.252</v>
      </c>
      <c r="G89" s="227">
        <v>17423.147000000001</v>
      </c>
      <c r="H89" s="227">
        <v>17514.400000000001</v>
      </c>
      <c r="I89" s="227">
        <v>17354.605</v>
      </c>
      <c r="J89" s="227">
        <v>17298.147000000001</v>
      </c>
      <c r="K89" s="227">
        <v>17036.294000000002</v>
      </c>
      <c r="L89" s="227">
        <v>17067.298999999999</v>
      </c>
      <c r="M89" s="227">
        <v>16686.151999999998</v>
      </c>
      <c r="N89" s="227">
        <v>16529.501</v>
      </c>
      <c r="O89" s="227">
        <v>15864.620999999999</v>
      </c>
      <c r="P89" s="154"/>
      <c r="Q89" s="28">
        <v>1.6168343917876662E-2</v>
      </c>
      <c r="R89" s="154"/>
    </row>
    <row r="90" spans="1:18">
      <c r="A90" s="154" t="s">
        <v>201</v>
      </c>
      <c r="B90" s="260">
        <v>1414.018</v>
      </c>
      <c r="C90" s="227">
        <v>1507.8969999999999</v>
      </c>
      <c r="D90" s="227">
        <v>1589.24</v>
      </c>
      <c r="E90" s="227">
        <v>1399.318</v>
      </c>
      <c r="F90" s="227">
        <v>1435.204</v>
      </c>
      <c r="G90" s="227">
        <v>1455.424</v>
      </c>
      <c r="H90" s="227">
        <v>1448.7529999999999</v>
      </c>
      <c r="I90" s="227">
        <v>1529.6369999999999</v>
      </c>
      <c r="J90" s="227">
        <v>1475.0650000000001</v>
      </c>
      <c r="K90" s="227">
        <v>1519.4739999999999</v>
      </c>
      <c r="L90" s="227">
        <v>1529.548</v>
      </c>
      <c r="M90" s="227">
        <v>1705.24</v>
      </c>
      <c r="N90" s="227">
        <v>1515.5650000000001</v>
      </c>
      <c r="O90" s="227">
        <v>1390.8879999999999</v>
      </c>
      <c r="P90" s="154"/>
      <c r="Q90" s="28">
        <v>-6.2258231165656479E-2</v>
      </c>
      <c r="R90" s="154"/>
    </row>
    <row r="91" spans="1:18">
      <c r="A91" s="154" t="s">
        <v>199</v>
      </c>
      <c r="B91" s="260">
        <v>303.12099999999998</v>
      </c>
      <c r="C91" s="227">
        <v>313.62700000000001</v>
      </c>
      <c r="D91" s="227">
        <v>309.08300000000003</v>
      </c>
      <c r="E91" s="227">
        <v>308.82799999999997</v>
      </c>
      <c r="F91" s="227">
        <v>301.68700000000001</v>
      </c>
      <c r="G91" s="227">
        <v>316.67700000000002</v>
      </c>
      <c r="H91" s="227">
        <v>300.86700000000002</v>
      </c>
      <c r="I91" s="227">
        <v>318.81</v>
      </c>
      <c r="J91" s="227">
        <v>325.625</v>
      </c>
      <c r="K91" s="227">
        <v>347.89</v>
      </c>
      <c r="L91" s="227">
        <v>333.45800000000003</v>
      </c>
      <c r="M91" s="227">
        <v>318.75700000000001</v>
      </c>
      <c r="N91" s="227">
        <v>322.90300000000002</v>
      </c>
      <c r="O91" s="227">
        <v>316.65300000000002</v>
      </c>
      <c r="P91" s="154"/>
      <c r="Q91" s="28">
        <v>-3.3498391401250618E-2</v>
      </c>
      <c r="R91" s="154"/>
    </row>
    <row r="92" spans="1:18">
      <c r="A92" s="154" t="s">
        <v>200</v>
      </c>
      <c r="B92" s="260">
        <v>0.95</v>
      </c>
      <c r="C92" s="227">
        <v>3.0880000000000001</v>
      </c>
      <c r="D92" s="227">
        <v>1.08</v>
      </c>
      <c r="E92" s="227">
        <v>1.208</v>
      </c>
      <c r="F92" s="227">
        <v>1.393</v>
      </c>
      <c r="G92" s="227">
        <v>1.2909999999999999</v>
      </c>
      <c r="H92" s="227">
        <v>1.3220000000000001</v>
      </c>
      <c r="I92" s="227">
        <v>1.47</v>
      </c>
      <c r="J92" s="227">
        <v>1.825</v>
      </c>
      <c r="K92" s="227">
        <v>2.371</v>
      </c>
      <c r="L92" s="227">
        <v>3.4660000000000002</v>
      </c>
      <c r="M92" s="227">
        <v>8.4169999999999998</v>
      </c>
      <c r="N92" s="227">
        <v>9.8379999999999992</v>
      </c>
      <c r="O92" s="227">
        <v>11.888</v>
      </c>
      <c r="P92" s="154"/>
      <c r="Q92" s="28">
        <v>-0.69235751295336778</v>
      </c>
      <c r="R92" s="154"/>
    </row>
    <row r="93" spans="1:18">
      <c r="A93" s="154" t="s">
        <v>202</v>
      </c>
      <c r="B93" s="260">
        <v>9.0359999999999996</v>
      </c>
      <c r="C93" s="227">
        <v>7.6360000000000001</v>
      </c>
      <c r="D93" s="227">
        <v>8.3149999999999995</v>
      </c>
      <c r="E93" s="227">
        <v>8.2959999999999994</v>
      </c>
      <c r="F93" s="227">
        <v>9.3209999999999997</v>
      </c>
      <c r="G93" s="227">
        <v>9.1349999999999998</v>
      </c>
      <c r="H93" s="227">
        <v>8.9469999999999992</v>
      </c>
      <c r="I93" s="227">
        <v>7.9859999999999998</v>
      </c>
      <c r="J93" s="227">
        <v>11.15</v>
      </c>
      <c r="K93" s="227">
        <v>11.67</v>
      </c>
      <c r="L93" s="227">
        <v>11.795999999999999</v>
      </c>
      <c r="M93" s="227">
        <v>11.879</v>
      </c>
      <c r="N93" s="227">
        <v>12.212</v>
      </c>
      <c r="O93" s="227">
        <v>13.430999999999999</v>
      </c>
      <c r="P93" s="154"/>
      <c r="Q93" s="28">
        <v>0.18334206390780505</v>
      </c>
      <c r="R93" s="154"/>
    </row>
    <row r="94" spans="1:18">
      <c r="A94" s="154" t="s">
        <v>203</v>
      </c>
      <c r="B94" s="260">
        <v>50.206000000000003</v>
      </c>
      <c r="C94" s="227">
        <v>48.643000000000001</v>
      </c>
      <c r="D94" s="227">
        <v>52.219000000000001</v>
      </c>
      <c r="E94" s="227">
        <v>54.400999999999996</v>
      </c>
      <c r="F94" s="227">
        <v>53.834999999999994</v>
      </c>
      <c r="G94" s="227">
        <v>54.214000000000006</v>
      </c>
      <c r="H94" s="227">
        <v>62.625999999999998</v>
      </c>
      <c r="I94" s="227">
        <v>54.637</v>
      </c>
      <c r="J94" s="227">
        <v>54.343000000000004</v>
      </c>
      <c r="K94" s="227">
        <v>55.89</v>
      </c>
      <c r="L94" s="227">
        <v>52.751999999999995</v>
      </c>
      <c r="M94" s="227">
        <v>61.62</v>
      </c>
      <c r="N94" s="227">
        <v>60.196999999999996</v>
      </c>
      <c r="O94" s="227">
        <v>62.023999999999994</v>
      </c>
      <c r="P94" s="154"/>
      <c r="Q94" s="28">
        <v>3.213206422301261E-2</v>
      </c>
      <c r="R94" s="154"/>
    </row>
    <row r="95" spans="1:18" ht="15.75" thickBot="1">
      <c r="A95" s="154"/>
      <c r="B95" s="226">
        <v>20903.112999999998</v>
      </c>
      <c r="C95" s="226">
        <v>20702.361000000001</v>
      </c>
      <c r="D95" s="226">
        <v>20519.276000000002</v>
      </c>
      <c r="E95" s="226">
        <v>19988.552</v>
      </c>
      <c r="F95" s="226">
        <v>19722.692000000003</v>
      </c>
      <c r="G95" s="226">
        <v>19259.887999999999</v>
      </c>
      <c r="H95" s="226">
        <v>19336.915000000001</v>
      </c>
      <c r="I95" s="226">
        <v>19267.145</v>
      </c>
      <c r="J95" s="226">
        <v>19166.155000000002</v>
      </c>
      <c r="K95" s="226">
        <v>18973.588999999996</v>
      </c>
      <c r="L95" s="226">
        <v>18998.318999999996</v>
      </c>
      <c r="M95" s="226">
        <v>18792.065000000002</v>
      </c>
      <c r="N95" s="226">
        <v>18450.215999999997</v>
      </c>
      <c r="O95" s="226">
        <v>17659.504999999997</v>
      </c>
      <c r="P95" s="173"/>
      <c r="Q95" s="159">
        <v>9.6970582244216858E-3</v>
      </c>
      <c r="R95" s="154"/>
    </row>
    <row r="96" spans="1:18" ht="15.75" thickTop="1">
      <c r="A96" s="154"/>
      <c r="B96" s="154"/>
      <c r="C96" s="218"/>
      <c r="D96" s="154"/>
      <c r="E96" s="154"/>
      <c r="F96" s="154"/>
      <c r="G96" s="154"/>
      <c r="H96" s="154"/>
      <c r="I96" s="154"/>
      <c r="J96" s="154"/>
      <c r="K96" s="154"/>
      <c r="L96" s="154"/>
      <c r="M96" s="154"/>
      <c r="N96" s="154"/>
      <c r="O96" s="154"/>
      <c r="P96" s="154"/>
      <c r="Q96" s="154"/>
      <c r="R96" s="154"/>
    </row>
    <row r="97" spans="1:18" ht="26.25" customHeight="1">
      <c r="A97" s="327"/>
      <c r="B97" s="327"/>
      <c r="C97" s="327"/>
      <c r="D97" s="327"/>
      <c r="E97" s="327"/>
      <c r="F97" s="327"/>
      <c r="G97" s="327"/>
      <c r="H97" s="327"/>
      <c r="I97" s="327"/>
      <c r="J97" s="327"/>
      <c r="K97" s="327"/>
      <c r="L97" s="327"/>
      <c r="M97" s="327"/>
      <c r="N97" s="327"/>
      <c r="O97" s="327"/>
      <c r="P97" s="213"/>
      <c r="Q97" s="213"/>
      <c r="R97" s="146"/>
    </row>
    <row r="98" spans="1:18" ht="30" customHeight="1">
      <c r="A98" s="326" t="s">
        <v>454</v>
      </c>
      <c r="B98" s="326"/>
      <c r="C98" s="326"/>
      <c r="D98" s="326"/>
      <c r="E98" s="326"/>
      <c r="F98" s="326"/>
      <c r="G98" s="326"/>
      <c r="H98" s="326"/>
      <c r="I98" s="326"/>
      <c r="J98" s="326"/>
      <c r="K98" s="326"/>
      <c r="L98" s="326"/>
      <c r="M98" s="326"/>
      <c r="N98" s="326"/>
      <c r="O98" s="326"/>
      <c r="P98" s="213"/>
      <c r="Q98" s="213"/>
      <c r="R98" s="154"/>
    </row>
    <row r="99" spans="1:18" ht="30" customHeight="1">
      <c r="A99" s="326" t="s">
        <v>699</v>
      </c>
      <c r="B99" s="326"/>
      <c r="C99" s="326"/>
      <c r="D99" s="326"/>
      <c r="E99" s="326"/>
      <c r="F99" s="326"/>
      <c r="G99" s="326"/>
      <c r="H99" s="326"/>
      <c r="I99" s="326"/>
      <c r="J99" s="326"/>
      <c r="K99" s="326"/>
      <c r="L99" s="326"/>
      <c r="M99" s="326"/>
      <c r="N99" s="326"/>
      <c r="O99" s="326"/>
      <c r="P99" s="213"/>
      <c r="Q99" s="213"/>
      <c r="R99" s="154"/>
    </row>
    <row r="100" spans="1:18" s="300" customFormat="1" ht="62.25" customHeight="1">
      <c r="A100" s="326" t="s">
        <v>575</v>
      </c>
      <c r="B100" s="326"/>
      <c r="C100" s="326"/>
      <c r="D100" s="326"/>
      <c r="E100" s="326"/>
      <c r="F100" s="326"/>
      <c r="G100" s="326"/>
      <c r="H100" s="326"/>
      <c r="I100" s="326"/>
      <c r="J100" s="326"/>
      <c r="K100" s="326"/>
      <c r="L100" s="326"/>
      <c r="M100" s="326"/>
      <c r="N100" s="326"/>
      <c r="O100" s="326"/>
      <c r="P100" s="301"/>
      <c r="Q100" s="301"/>
      <c r="R100" s="302"/>
    </row>
    <row r="101" spans="1:18" s="300" customFormat="1" ht="30" customHeight="1">
      <c r="A101" s="326" t="s">
        <v>534</v>
      </c>
      <c r="B101" s="326"/>
      <c r="C101" s="326"/>
      <c r="D101" s="326"/>
      <c r="E101" s="326"/>
      <c r="F101" s="326"/>
      <c r="G101" s="326"/>
      <c r="H101" s="326"/>
      <c r="I101" s="326"/>
      <c r="J101" s="326"/>
      <c r="K101" s="326"/>
      <c r="L101" s="326"/>
      <c r="M101" s="326"/>
      <c r="N101" s="326"/>
      <c r="O101" s="326"/>
      <c r="P101" s="301"/>
      <c r="Q101" s="301"/>
      <c r="R101" s="302"/>
    </row>
    <row r="102" spans="1:18" s="300" customFormat="1" ht="30" customHeight="1">
      <c r="A102" s="326" t="s">
        <v>535</v>
      </c>
      <c r="B102" s="326"/>
      <c r="C102" s="326"/>
      <c r="D102" s="326"/>
      <c r="E102" s="326"/>
      <c r="F102" s="326"/>
      <c r="G102" s="326"/>
      <c r="H102" s="326"/>
      <c r="I102" s="326"/>
      <c r="J102" s="326"/>
      <c r="K102" s="326"/>
      <c r="L102" s="326"/>
      <c r="M102" s="326"/>
      <c r="N102" s="326"/>
      <c r="O102" s="326"/>
      <c r="P102" s="301"/>
      <c r="Q102" s="301"/>
      <c r="R102" s="302"/>
    </row>
    <row r="103" spans="1:18" s="300" customFormat="1" ht="43.5" customHeight="1">
      <c r="A103" s="326" t="s">
        <v>536</v>
      </c>
      <c r="B103" s="326"/>
      <c r="C103" s="326"/>
      <c r="D103" s="326"/>
      <c r="E103" s="326"/>
      <c r="F103" s="326"/>
      <c r="G103" s="326"/>
      <c r="H103" s="326"/>
      <c r="I103" s="326"/>
      <c r="J103" s="326"/>
      <c r="K103" s="326"/>
      <c r="L103" s="326"/>
      <c r="M103" s="326"/>
      <c r="N103" s="326"/>
      <c r="O103" s="326"/>
      <c r="P103" s="301"/>
      <c r="Q103" s="301"/>
      <c r="R103" s="302"/>
    </row>
    <row r="104" spans="1:18" s="300" customFormat="1" ht="30" customHeight="1">
      <c r="A104" s="326" t="s">
        <v>615</v>
      </c>
      <c r="B104" s="326"/>
      <c r="C104" s="326"/>
      <c r="D104" s="326"/>
      <c r="E104" s="326"/>
      <c r="F104" s="326"/>
      <c r="G104" s="326"/>
      <c r="H104" s="326"/>
      <c r="I104" s="326"/>
      <c r="J104" s="326"/>
      <c r="K104" s="326"/>
      <c r="L104" s="326"/>
      <c r="M104" s="326"/>
      <c r="N104" s="326"/>
      <c r="O104" s="326"/>
      <c r="P104" s="301"/>
      <c r="Q104" s="301"/>
      <c r="R104" s="302"/>
    </row>
    <row r="105" spans="1:18" ht="30" customHeight="1">
      <c r="A105" s="326" t="s">
        <v>669</v>
      </c>
      <c r="B105" s="326"/>
      <c r="C105" s="326"/>
      <c r="D105" s="326"/>
      <c r="E105" s="326"/>
      <c r="F105" s="326"/>
      <c r="G105" s="326"/>
      <c r="H105" s="326"/>
      <c r="I105" s="326"/>
      <c r="J105" s="326"/>
      <c r="K105" s="326"/>
      <c r="L105" s="326"/>
      <c r="M105" s="326"/>
      <c r="N105" s="326"/>
      <c r="O105" s="326"/>
      <c r="P105" s="270"/>
      <c r="Q105" s="270"/>
      <c r="R105" s="154"/>
    </row>
    <row r="106" spans="1:18" ht="29.25" customHeight="1">
      <c r="A106" s="326" t="s">
        <v>670</v>
      </c>
      <c r="B106" s="326"/>
      <c r="C106" s="326"/>
      <c r="D106" s="326"/>
      <c r="E106" s="326"/>
      <c r="F106" s="326"/>
      <c r="G106" s="326"/>
      <c r="H106" s="326"/>
      <c r="I106" s="326"/>
      <c r="J106" s="326"/>
      <c r="K106" s="326"/>
      <c r="L106" s="326"/>
      <c r="M106" s="326"/>
      <c r="N106" s="326"/>
      <c r="O106" s="326"/>
      <c r="P106" s="205"/>
      <c r="Q106" s="205"/>
      <c r="R106" s="205"/>
    </row>
    <row r="107" spans="1:18" ht="42.75" customHeight="1">
      <c r="A107" s="326" t="s">
        <v>671</v>
      </c>
      <c r="B107" s="326"/>
      <c r="C107" s="326"/>
      <c r="D107" s="326"/>
      <c r="E107" s="326"/>
      <c r="F107" s="326"/>
      <c r="G107" s="326"/>
      <c r="H107" s="326"/>
      <c r="I107" s="326"/>
      <c r="J107" s="326"/>
      <c r="K107" s="326"/>
      <c r="L107" s="326"/>
      <c r="M107" s="326"/>
      <c r="N107" s="326"/>
      <c r="O107" s="326"/>
      <c r="P107" s="154"/>
      <c r="Q107" s="154"/>
      <c r="R107" s="154"/>
    </row>
    <row r="108" spans="1:18" ht="49.5" customHeight="1">
      <c r="A108" s="326" t="s">
        <v>672</v>
      </c>
      <c r="B108" s="326"/>
      <c r="C108" s="326"/>
      <c r="D108" s="326"/>
      <c r="E108" s="326"/>
      <c r="F108" s="326"/>
      <c r="G108" s="326"/>
      <c r="H108" s="326"/>
      <c r="I108" s="326"/>
      <c r="J108" s="326"/>
      <c r="K108" s="326"/>
      <c r="L108" s="326"/>
      <c r="M108" s="326"/>
      <c r="N108" s="326"/>
      <c r="O108" s="326"/>
      <c r="P108" s="154"/>
      <c r="Q108" s="154"/>
      <c r="R108" s="154"/>
    </row>
    <row r="109" spans="1:18" ht="45" customHeight="1">
      <c r="A109" s="326" t="s">
        <v>673</v>
      </c>
      <c r="B109" s="326"/>
      <c r="C109" s="326"/>
      <c r="D109" s="326"/>
      <c r="E109" s="326"/>
      <c r="F109" s="326"/>
      <c r="G109" s="326"/>
      <c r="H109" s="326"/>
      <c r="I109" s="326"/>
      <c r="J109" s="326"/>
      <c r="K109" s="326"/>
      <c r="L109" s="326"/>
      <c r="M109" s="326"/>
      <c r="N109" s="326"/>
      <c r="O109" s="326"/>
      <c r="P109" s="154"/>
      <c r="Q109" s="154"/>
      <c r="R109" s="154"/>
    </row>
    <row r="110" spans="1:18" ht="59.25" customHeight="1">
      <c r="A110" s="326" t="s">
        <v>674</v>
      </c>
      <c r="B110" s="326"/>
      <c r="C110" s="326"/>
      <c r="D110" s="326"/>
      <c r="E110" s="326"/>
      <c r="F110" s="326"/>
      <c r="G110" s="326"/>
      <c r="H110" s="326"/>
      <c r="I110" s="326"/>
      <c r="J110" s="326"/>
      <c r="K110" s="326"/>
      <c r="L110" s="326"/>
      <c r="M110" s="326"/>
      <c r="N110" s="326"/>
      <c r="O110" s="326"/>
      <c r="P110" s="154"/>
      <c r="Q110" s="154"/>
      <c r="R110" s="154"/>
    </row>
    <row r="111" spans="1:18" ht="56.25" customHeight="1">
      <c r="A111" s="326" t="s">
        <v>707</v>
      </c>
      <c r="B111" s="326"/>
      <c r="C111" s="326"/>
      <c r="D111" s="326"/>
      <c r="E111" s="326"/>
      <c r="F111" s="326"/>
      <c r="G111" s="326"/>
      <c r="H111" s="326"/>
      <c r="I111" s="326"/>
      <c r="J111" s="326"/>
      <c r="K111" s="326"/>
      <c r="L111" s="326"/>
      <c r="M111" s="326"/>
      <c r="N111" s="326"/>
      <c r="O111" s="326"/>
    </row>
    <row r="112" spans="1:18" ht="51.75" customHeight="1">
      <c r="A112" s="326" t="s">
        <v>708</v>
      </c>
      <c r="B112" s="326"/>
      <c r="C112" s="326"/>
      <c r="D112" s="326"/>
      <c r="E112" s="326"/>
      <c r="F112" s="326"/>
      <c r="G112" s="326"/>
      <c r="H112" s="326"/>
      <c r="I112" s="326"/>
      <c r="J112" s="326"/>
      <c r="K112" s="326"/>
      <c r="L112" s="326"/>
      <c r="M112" s="326"/>
      <c r="N112" s="326"/>
      <c r="O112" s="326"/>
    </row>
    <row r="113" spans="1:15" ht="22.5" customHeight="1">
      <c r="A113" s="326" t="s">
        <v>709</v>
      </c>
      <c r="B113" s="326"/>
      <c r="C113" s="326"/>
      <c r="D113" s="326"/>
      <c r="E113" s="326"/>
      <c r="F113" s="326"/>
      <c r="G113" s="326"/>
      <c r="H113" s="326"/>
      <c r="I113" s="326"/>
      <c r="J113" s="326"/>
      <c r="K113" s="326"/>
      <c r="L113" s="326"/>
      <c r="M113" s="326"/>
      <c r="N113" s="326"/>
      <c r="O113" s="326"/>
    </row>
    <row r="114" spans="1:15" ht="20.25" customHeight="1">
      <c r="A114" s="326" t="s">
        <v>675</v>
      </c>
      <c r="B114" s="326"/>
      <c r="C114" s="326"/>
      <c r="D114" s="326"/>
      <c r="E114" s="326"/>
      <c r="F114" s="326"/>
      <c r="G114" s="326"/>
      <c r="H114" s="326"/>
      <c r="I114" s="326"/>
      <c r="J114" s="326"/>
      <c r="K114" s="326"/>
      <c r="L114" s="326"/>
      <c r="M114" s="326"/>
      <c r="N114" s="326"/>
      <c r="O114" s="326"/>
    </row>
    <row r="115" spans="1:15" ht="24.75" customHeight="1">
      <c r="A115" s="326" t="s">
        <v>676</v>
      </c>
      <c r="B115" s="326"/>
      <c r="C115" s="326"/>
      <c r="D115" s="326"/>
      <c r="E115" s="326"/>
      <c r="F115" s="326"/>
      <c r="G115" s="326"/>
      <c r="H115" s="326"/>
      <c r="I115" s="326"/>
      <c r="J115" s="326"/>
      <c r="K115" s="326"/>
      <c r="L115" s="326"/>
      <c r="M115" s="326"/>
      <c r="N115" s="326"/>
      <c r="O115" s="326"/>
    </row>
    <row r="116" spans="1:15" ht="24.75" customHeight="1">
      <c r="A116" s="326" t="s">
        <v>677</v>
      </c>
      <c r="B116" s="326"/>
      <c r="C116" s="326"/>
      <c r="D116" s="326"/>
      <c r="E116" s="326"/>
      <c r="F116" s="326"/>
      <c r="G116" s="326"/>
      <c r="H116" s="326"/>
      <c r="I116" s="326"/>
      <c r="J116" s="326"/>
      <c r="K116" s="326"/>
      <c r="L116" s="326"/>
      <c r="M116" s="326"/>
      <c r="N116" s="326"/>
      <c r="O116" s="326"/>
    </row>
    <row r="117" spans="1:15" ht="51.75" customHeight="1"/>
    <row r="118" spans="1:15" ht="55.5" customHeight="1"/>
  </sheetData>
  <sheetProtection formatCells="0" formatColumns="0" formatRows="0" insertColumns="0" insertRows="0" insertHyperlinks="0" deleteColumns="0" deleteRows="0" sort="0" autoFilter="0" pivotTables="0"/>
  <mergeCells count="20">
    <mergeCell ref="A101:O101"/>
    <mergeCell ref="A102:O102"/>
    <mergeCell ref="A111:O111"/>
    <mergeCell ref="A113:O113"/>
    <mergeCell ref="A105:O105"/>
    <mergeCell ref="A106:O106"/>
    <mergeCell ref="A97:O97"/>
    <mergeCell ref="A98:O98"/>
    <mergeCell ref="A116:O116"/>
    <mergeCell ref="A114:O114"/>
    <mergeCell ref="A99:O99"/>
    <mergeCell ref="A109:O109"/>
    <mergeCell ref="A108:O108"/>
    <mergeCell ref="A115:O115"/>
    <mergeCell ref="A104:O104"/>
    <mergeCell ref="A110:O110"/>
    <mergeCell ref="A112:O112"/>
    <mergeCell ref="A107:O107"/>
    <mergeCell ref="A103:O103"/>
    <mergeCell ref="A100:O100"/>
  </mergeCells>
  <pageMargins left="0.70866141732283472" right="0.70866141732283472" top="0.74803149606299213" bottom="0.74803149606299213" header="0.31496062992125984" footer="0.31496062992125984"/>
  <pageSetup paperSize="9" scale="23" orientation="landscape" r:id="rId1"/>
  <rowBreaks count="1" manualBreakCount="1">
    <brk id="2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63"/>
  <sheetViews>
    <sheetView zoomScaleNormal="100" workbookViewId="0">
      <pane xSplit="1" ySplit="3" topLeftCell="B4" activePane="bottomRight" state="frozen"/>
      <selection activeCell="A94" sqref="A94:AG94"/>
      <selection pane="topRight" activeCell="A94" sqref="A94:AG94"/>
      <selection pane="bottomLeft" activeCell="A94" sqref="A94:AG94"/>
      <selection pane="bottomRight" activeCell="A2" sqref="A2"/>
    </sheetView>
  </sheetViews>
  <sheetFormatPr defaultColWidth="9.140625" defaultRowHeight="15"/>
  <cols>
    <col min="1" max="1" width="53.85546875" style="18" customWidth="1"/>
    <col min="2" max="2" width="9.42578125" style="18" customWidth="1"/>
    <col min="3" max="15" width="9.28515625" style="18" customWidth="1"/>
    <col min="16" max="16" width="4.7109375" style="18" customWidth="1"/>
    <col min="17" max="30" width="11.7109375" style="18" customWidth="1"/>
    <col min="31" max="31" width="4.42578125" style="18" customWidth="1"/>
    <col min="32" max="16384" width="9.140625" style="18"/>
  </cols>
  <sheetData>
    <row r="1" spans="1:30">
      <c r="A1" s="16" t="s">
        <v>693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 r="A2" s="19" t="s">
        <v>43</v>
      </c>
      <c r="B2" s="75" t="s">
        <v>629</v>
      </c>
      <c r="C2" s="75" t="s">
        <v>606</v>
      </c>
      <c r="D2" s="75" t="s">
        <v>593</v>
      </c>
      <c r="E2" s="75" t="s">
        <v>550</v>
      </c>
      <c r="F2" s="75" t="s">
        <v>524</v>
      </c>
      <c r="G2" s="75" t="s">
        <v>513</v>
      </c>
      <c r="H2" s="75" t="s">
        <v>502</v>
      </c>
      <c r="I2" s="75" t="s">
        <v>419</v>
      </c>
      <c r="J2" s="75" t="s">
        <v>401</v>
      </c>
      <c r="K2" s="75" t="s">
        <v>387</v>
      </c>
      <c r="L2" s="75" t="s">
        <v>476</v>
      </c>
      <c r="M2" s="75" t="s">
        <v>477</v>
      </c>
      <c r="N2" s="75" t="s">
        <v>478</v>
      </c>
      <c r="O2" s="75" t="s">
        <v>479</v>
      </c>
      <c r="P2" s="75"/>
      <c r="Q2" s="75" t="s">
        <v>630</v>
      </c>
      <c r="R2" s="75" t="s">
        <v>607</v>
      </c>
      <c r="S2" s="75" t="s">
        <v>594</v>
      </c>
      <c r="T2" s="75" t="s">
        <v>551</v>
      </c>
      <c r="U2" s="75" t="s">
        <v>525</v>
      </c>
      <c r="V2" s="75" t="s">
        <v>514</v>
      </c>
      <c r="W2" s="75" t="s">
        <v>503</v>
      </c>
      <c r="X2" s="75" t="s">
        <v>420</v>
      </c>
      <c r="Y2" s="75" t="s">
        <v>402</v>
      </c>
      <c r="Z2" s="75" t="s">
        <v>388</v>
      </c>
      <c r="AA2" s="75" t="s">
        <v>395</v>
      </c>
      <c r="AB2" s="75" t="s">
        <v>396</v>
      </c>
      <c r="AC2" s="75" t="s">
        <v>397</v>
      </c>
      <c r="AD2" s="75" t="s">
        <v>398</v>
      </c>
    </row>
    <row r="3" spans="1:30">
      <c r="A3" s="21" t="s">
        <v>678</v>
      </c>
      <c r="B3" s="21"/>
      <c r="C3" s="21"/>
      <c r="D3" s="21"/>
      <c r="E3" s="21"/>
      <c r="F3" s="21"/>
      <c r="G3" s="21"/>
      <c r="H3" s="21"/>
      <c r="I3" s="21"/>
      <c r="J3" s="21"/>
      <c r="K3" s="21"/>
      <c r="L3" s="21"/>
      <c r="M3" s="21"/>
      <c r="N3" s="21"/>
      <c r="O3" s="21"/>
      <c r="P3" s="76"/>
      <c r="Q3" s="76"/>
      <c r="R3" s="76"/>
      <c r="S3" s="76"/>
      <c r="T3" s="76"/>
      <c r="U3" s="76"/>
      <c r="V3" s="76"/>
      <c r="W3" s="76"/>
      <c r="X3" s="76"/>
      <c r="Y3" s="76"/>
      <c r="Z3" s="76"/>
      <c r="AA3" s="76"/>
      <c r="AB3" s="76"/>
      <c r="AC3" s="76"/>
      <c r="AD3" s="76"/>
    </row>
    <row r="4" spans="1:30">
      <c r="A4" s="38" t="s">
        <v>44</v>
      </c>
      <c r="B4" s="179">
        <v>181.71599999999998</v>
      </c>
      <c r="C4" s="77">
        <v>185.739</v>
      </c>
      <c r="D4" s="77">
        <v>197.88800000000003</v>
      </c>
      <c r="E4" s="77">
        <v>203.69400000000002</v>
      </c>
      <c r="F4" s="77">
        <v>206.63200000000001</v>
      </c>
      <c r="G4" s="77">
        <v>213.25</v>
      </c>
      <c r="H4" s="77">
        <v>220.053</v>
      </c>
      <c r="I4" s="77">
        <v>213.82099999999997</v>
      </c>
      <c r="J4" s="77">
        <v>196.09100000000001</v>
      </c>
      <c r="K4" s="77">
        <v>162.25200000000001</v>
      </c>
      <c r="L4" s="77">
        <v>136.02457527999999</v>
      </c>
      <c r="M4" s="77">
        <v>88.661009910000018</v>
      </c>
      <c r="N4" s="77">
        <v>74.365532119999983</v>
      </c>
      <c r="O4" s="77">
        <v>71.355621020000001</v>
      </c>
      <c r="P4" s="82"/>
      <c r="Q4" s="287">
        <v>367.45499999999998</v>
      </c>
      <c r="R4" s="81">
        <v>185.739</v>
      </c>
      <c r="S4" s="81">
        <v>821.46400000000006</v>
      </c>
      <c r="T4" s="81">
        <v>623.57600000000002</v>
      </c>
      <c r="U4" s="81">
        <v>419.88200000000001</v>
      </c>
      <c r="V4" s="81">
        <v>213.25</v>
      </c>
      <c r="W4" s="81">
        <v>792.21699999999998</v>
      </c>
      <c r="X4" s="81">
        <v>572.16399999999999</v>
      </c>
      <c r="Y4" s="81">
        <v>358.34300000000002</v>
      </c>
      <c r="Z4" s="81">
        <v>162.25200000000001</v>
      </c>
      <c r="AA4" s="81">
        <v>370.40673833</v>
      </c>
      <c r="AB4" s="81">
        <v>234.38216305</v>
      </c>
      <c r="AC4" s="81">
        <v>145.72115313999998</v>
      </c>
      <c r="AD4" s="81">
        <v>71.355621020000001</v>
      </c>
    </row>
    <row r="5" spans="1:30">
      <c r="A5" s="38" t="s">
        <v>109</v>
      </c>
      <c r="B5" s="179">
        <v>44.246000000000002</v>
      </c>
      <c r="C5" s="77">
        <v>43.936</v>
      </c>
      <c r="D5" s="77">
        <v>46.283999999999992</v>
      </c>
      <c r="E5" s="77">
        <v>44.445999999999998</v>
      </c>
      <c r="F5" s="77">
        <v>44.196999999999996</v>
      </c>
      <c r="G5" s="77">
        <v>42.017000000000003</v>
      </c>
      <c r="H5" s="77">
        <v>46.504999999999995</v>
      </c>
      <c r="I5" s="77">
        <v>44.914000000000001</v>
      </c>
      <c r="J5" s="77">
        <v>45.391999999999996</v>
      </c>
      <c r="K5" s="77">
        <v>44.212000000000003</v>
      </c>
      <c r="L5" s="77">
        <v>50.185000000000002</v>
      </c>
      <c r="M5" s="77">
        <v>48.460999999999999</v>
      </c>
      <c r="N5" s="77">
        <v>49.913999999999994</v>
      </c>
      <c r="O5" s="77">
        <v>43.725000000000001</v>
      </c>
      <c r="P5" s="82"/>
      <c r="Q5" s="287">
        <v>88.182000000000002</v>
      </c>
      <c r="R5" s="81">
        <v>43.936</v>
      </c>
      <c r="S5" s="81">
        <v>176.94399999999999</v>
      </c>
      <c r="T5" s="81">
        <v>130.66</v>
      </c>
      <c r="U5" s="81">
        <v>86.213999999999999</v>
      </c>
      <c r="V5" s="81">
        <v>42.017000000000003</v>
      </c>
      <c r="W5" s="81">
        <v>181.023</v>
      </c>
      <c r="X5" s="81">
        <v>134.518</v>
      </c>
      <c r="Y5" s="81">
        <v>89.603999999999999</v>
      </c>
      <c r="Z5" s="81">
        <v>44.212000000000003</v>
      </c>
      <c r="AA5" s="81">
        <v>192.285</v>
      </c>
      <c r="AB5" s="81">
        <v>142.1</v>
      </c>
      <c r="AC5" s="81">
        <v>93.638999999999996</v>
      </c>
      <c r="AD5" s="81">
        <v>43.725000000000001</v>
      </c>
    </row>
    <row r="6" spans="1:30">
      <c r="A6" s="38" t="s">
        <v>46</v>
      </c>
      <c r="B6" s="179">
        <v>28.212</v>
      </c>
      <c r="C6" s="77">
        <v>25.148</v>
      </c>
      <c r="D6" s="77">
        <v>22.459999999999994</v>
      </c>
      <c r="E6" s="77">
        <v>30.748000000000005</v>
      </c>
      <c r="F6" s="77">
        <v>21.790999999999997</v>
      </c>
      <c r="G6" s="77">
        <v>20.756</v>
      </c>
      <c r="H6" s="77">
        <v>30.230999999999995</v>
      </c>
      <c r="I6" s="77">
        <v>25.852000000000004</v>
      </c>
      <c r="J6" s="77">
        <v>35.868000000000002</v>
      </c>
      <c r="K6" s="77">
        <v>27.073</v>
      </c>
      <c r="L6" s="77">
        <v>29.504240146878459</v>
      </c>
      <c r="M6" s="77">
        <v>27.7228558144541</v>
      </c>
      <c r="N6" s="77">
        <v>20.216907386015599</v>
      </c>
      <c r="O6" s="77">
        <v>22.209388369104275</v>
      </c>
      <c r="P6" s="82"/>
      <c r="Q6" s="287">
        <v>53.36</v>
      </c>
      <c r="R6" s="81">
        <v>25.148</v>
      </c>
      <c r="S6" s="81">
        <v>95.754999999999995</v>
      </c>
      <c r="T6" s="81">
        <v>73.295000000000002</v>
      </c>
      <c r="U6" s="81">
        <v>42.546999999999997</v>
      </c>
      <c r="V6" s="81">
        <v>20.756</v>
      </c>
      <c r="W6" s="81">
        <v>119.024</v>
      </c>
      <c r="X6" s="81">
        <v>88.793000000000006</v>
      </c>
      <c r="Y6" s="81">
        <v>62.941000000000003</v>
      </c>
      <c r="Z6" s="81">
        <v>27.073</v>
      </c>
      <c r="AA6" s="81">
        <v>99.653391716452433</v>
      </c>
      <c r="AB6" s="81">
        <v>70.149151569573974</v>
      </c>
      <c r="AC6" s="81">
        <v>42.426295755119874</v>
      </c>
      <c r="AD6" s="81">
        <v>22.209388369104275</v>
      </c>
    </row>
    <row r="7" spans="1:30">
      <c r="A7" s="19" t="s">
        <v>47</v>
      </c>
      <c r="B7" s="289">
        <v>254.17400000000001</v>
      </c>
      <c r="C7" s="236">
        <v>254.82300000000001</v>
      </c>
      <c r="D7" s="236">
        <v>266.63200000000006</v>
      </c>
      <c r="E7" s="236">
        <v>278.88799999999992</v>
      </c>
      <c r="F7" s="236">
        <v>272.62</v>
      </c>
      <c r="G7" s="236">
        <v>276.02300000000002</v>
      </c>
      <c r="H7" s="236">
        <v>296.7890000000001</v>
      </c>
      <c r="I7" s="236">
        <v>284.58699999999999</v>
      </c>
      <c r="J7" s="236">
        <v>277.351</v>
      </c>
      <c r="K7" s="236">
        <v>233.53700000000001</v>
      </c>
      <c r="L7" s="236">
        <v>215.71381542687851</v>
      </c>
      <c r="M7" s="236">
        <v>164.84486572445411</v>
      </c>
      <c r="N7" s="236">
        <v>144.49643950601558</v>
      </c>
      <c r="O7" s="236">
        <v>137.29000938910428</v>
      </c>
      <c r="P7" s="84"/>
      <c r="Q7" s="288">
        <v>508.99700000000001</v>
      </c>
      <c r="R7" s="83">
        <v>254.82300000000001</v>
      </c>
      <c r="S7" s="83">
        <v>1094.163</v>
      </c>
      <c r="T7" s="83">
        <v>827.53099999999995</v>
      </c>
      <c r="U7" s="83">
        <v>548.64300000000003</v>
      </c>
      <c r="V7" s="83">
        <v>276.02300000000002</v>
      </c>
      <c r="W7" s="83">
        <v>1092.2640000000001</v>
      </c>
      <c r="X7" s="83">
        <v>795.47500000000002</v>
      </c>
      <c r="Y7" s="83">
        <v>510.88800000000003</v>
      </c>
      <c r="Z7" s="83">
        <v>233.53700000000001</v>
      </c>
      <c r="AA7" s="83">
        <v>662.34513004645248</v>
      </c>
      <c r="AB7" s="83">
        <v>446.63131461957397</v>
      </c>
      <c r="AC7" s="83">
        <v>281.78644889511986</v>
      </c>
      <c r="AD7" s="83">
        <v>137.29000938910428</v>
      </c>
    </row>
    <row r="8" spans="1:30">
      <c r="A8" s="19" t="s">
        <v>50</v>
      </c>
      <c r="B8" s="289">
        <v>-101.48799999999999</v>
      </c>
      <c r="C8" s="236">
        <v>-95.29</v>
      </c>
      <c r="D8" s="236">
        <v>-114.17000000000002</v>
      </c>
      <c r="E8" s="236">
        <v>-105.74699999999999</v>
      </c>
      <c r="F8" s="236">
        <v>-93.479000000000013</v>
      </c>
      <c r="G8" s="236">
        <v>-92.427999999999997</v>
      </c>
      <c r="H8" s="236">
        <v>-106.54900000000004</v>
      </c>
      <c r="I8" s="236">
        <v>-97.456999999999965</v>
      </c>
      <c r="J8" s="236">
        <v>-88.819000000000017</v>
      </c>
      <c r="K8" s="236">
        <v>-90.66</v>
      </c>
      <c r="L8" s="236">
        <v>-95.487706183205205</v>
      </c>
      <c r="M8" s="236">
        <v>-86.783611972778687</v>
      </c>
      <c r="N8" s="236">
        <v>-89.260189698174088</v>
      </c>
      <c r="O8" s="236">
        <v>-91.5702596626314</v>
      </c>
      <c r="P8" s="84"/>
      <c r="Q8" s="288">
        <v>-196.77799999999999</v>
      </c>
      <c r="R8" s="83">
        <v>-95.29</v>
      </c>
      <c r="S8" s="83">
        <v>-405.82400000000001</v>
      </c>
      <c r="T8" s="83">
        <v>-291.654</v>
      </c>
      <c r="U8" s="83">
        <v>-185.90700000000001</v>
      </c>
      <c r="V8" s="83">
        <v>-92.427999999999997</v>
      </c>
      <c r="W8" s="83">
        <v>-383.48500000000001</v>
      </c>
      <c r="X8" s="83">
        <v>-276.93599999999998</v>
      </c>
      <c r="Y8" s="83">
        <v>-179.47900000000001</v>
      </c>
      <c r="Z8" s="83">
        <v>-90.66</v>
      </c>
      <c r="AA8" s="83">
        <v>-363.10176751678938</v>
      </c>
      <c r="AB8" s="83">
        <v>-267.61406133358417</v>
      </c>
      <c r="AC8" s="83">
        <v>-180.83044936080549</v>
      </c>
      <c r="AD8" s="83">
        <v>-91.5702596626314</v>
      </c>
    </row>
    <row r="9" spans="1:30">
      <c r="A9" s="19" t="s">
        <v>110</v>
      </c>
      <c r="B9" s="289">
        <v>152.68600000000004</v>
      </c>
      <c r="C9" s="236">
        <v>159.53300000000002</v>
      </c>
      <c r="D9" s="236">
        <v>152.46199999999999</v>
      </c>
      <c r="E9" s="236">
        <v>173.14099999999996</v>
      </c>
      <c r="F9" s="236">
        <v>179.14099999999996</v>
      </c>
      <c r="G9" s="236">
        <v>183.59500000000003</v>
      </c>
      <c r="H9" s="236">
        <v>190.24000000000012</v>
      </c>
      <c r="I9" s="236">
        <v>187.13</v>
      </c>
      <c r="J9" s="236">
        <v>188.53199999999998</v>
      </c>
      <c r="K9" s="236">
        <v>142.87700000000001</v>
      </c>
      <c r="L9" s="236">
        <v>120.22610924367331</v>
      </c>
      <c r="M9" s="236">
        <v>78.061253751675423</v>
      </c>
      <c r="N9" s="236">
        <v>55.236249807841489</v>
      </c>
      <c r="O9" s="236">
        <v>45.719749726472884</v>
      </c>
      <c r="P9" s="84"/>
      <c r="Q9" s="288">
        <v>312.21900000000005</v>
      </c>
      <c r="R9" s="83">
        <v>159.53300000000002</v>
      </c>
      <c r="S9" s="83">
        <v>688.33899999999994</v>
      </c>
      <c r="T9" s="83">
        <v>535.87699999999995</v>
      </c>
      <c r="U9" s="83">
        <v>362.73599999999999</v>
      </c>
      <c r="V9" s="83">
        <v>183.59500000000003</v>
      </c>
      <c r="W9" s="83">
        <v>708.77900000000011</v>
      </c>
      <c r="X9" s="83">
        <v>518.53899999999999</v>
      </c>
      <c r="Y9" s="83">
        <v>331.40899999999999</v>
      </c>
      <c r="Z9" s="83">
        <v>142.87700000000001</v>
      </c>
      <c r="AA9" s="83">
        <v>299.2433625296631</v>
      </c>
      <c r="AB9" s="83">
        <v>179.0172532859898</v>
      </c>
      <c r="AC9" s="83">
        <v>100.95599953431437</v>
      </c>
      <c r="AD9" s="83">
        <v>45.719749726472884</v>
      </c>
    </row>
    <row r="10" spans="1:30" ht="28.5" customHeight="1">
      <c r="A10" s="79" t="s">
        <v>459</v>
      </c>
      <c r="B10" s="179">
        <v>-8.6</v>
      </c>
      <c r="C10" s="77">
        <v>-10.121</v>
      </c>
      <c r="D10" s="77">
        <v>-8.1929999999999978</v>
      </c>
      <c r="E10" s="77">
        <v>-6.67</v>
      </c>
      <c r="F10" s="77">
        <v>-8.7030000000000012</v>
      </c>
      <c r="G10" s="77">
        <v>-6.8019999999999996</v>
      </c>
      <c r="H10" s="77">
        <v>-18.68</v>
      </c>
      <c r="I10" s="77">
        <v>-19.672000000000004</v>
      </c>
      <c r="J10" s="77">
        <v>-13.189999999999998</v>
      </c>
      <c r="K10" s="77">
        <v>-11.207000000000001</v>
      </c>
      <c r="L10" s="77">
        <v>-11.158000000000001</v>
      </c>
      <c r="M10" s="77">
        <v>-12.440999999999999</v>
      </c>
      <c r="N10" s="77">
        <v>-11.187999999999999</v>
      </c>
      <c r="O10" s="77">
        <v>-11.93</v>
      </c>
      <c r="P10" s="82"/>
      <c r="Q10" s="287">
        <v>-18.721</v>
      </c>
      <c r="R10" s="81">
        <v>-10.121</v>
      </c>
      <c r="S10" s="81">
        <v>-30.367999999999999</v>
      </c>
      <c r="T10" s="81">
        <v>-22.175000000000001</v>
      </c>
      <c r="U10" s="81">
        <v>-15.505000000000001</v>
      </c>
      <c r="V10" s="81">
        <v>-6.8019999999999996</v>
      </c>
      <c r="W10" s="81">
        <v>-62.749000000000002</v>
      </c>
      <c r="X10" s="81">
        <v>-44.069000000000003</v>
      </c>
      <c r="Y10" s="81">
        <v>-24.396999999999998</v>
      </c>
      <c r="Z10" s="81">
        <v>-11.207000000000001</v>
      </c>
      <c r="AA10" s="81">
        <v>-46.716999999999999</v>
      </c>
      <c r="AB10" s="81">
        <v>-35.558999999999997</v>
      </c>
      <c r="AC10" s="81">
        <v>-23.117999999999999</v>
      </c>
      <c r="AD10" s="81">
        <v>-11.93</v>
      </c>
    </row>
    <row r="11" spans="1:30">
      <c r="A11" s="38" t="s">
        <v>111</v>
      </c>
      <c r="B11" s="179">
        <v>-4.327</v>
      </c>
      <c r="C11" s="77">
        <v>-9.9740000000000002</v>
      </c>
      <c r="D11" s="77">
        <v>-16.427</v>
      </c>
      <c r="E11" s="77">
        <v>-14.411000000000001</v>
      </c>
      <c r="F11" s="77">
        <v>-16.420999999999999</v>
      </c>
      <c r="G11" s="77">
        <v>-8.6639999999999997</v>
      </c>
      <c r="H11" s="77">
        <v>-15.728000000000002</v>
      </c>
      <c r="I11" s="77">
        <v>-7.9729999999999954</v>
      </c>
      <c r="J11" s="77">
        <v>-18.625</v>
      </c>
      <c r="K11" s="77">
        <v>-11.061999999999999</v>
      </c>
      <c r="L11" s="77">
        <v>-12.059999999999999</v>
      </c>
      <c r="M11" s="77">
        <v>-7.0409999999999986</v>
      </c>
      <c r="N11" s="77">
        <v>-8.1349999999999998</v>
      </c>
      <c r="O11" s="77">
        <v>-4.8900000000000006</v>
      </c>
      <c r="P11" s="82"/>
      <c r="Q11" s="287">
        <v>-14.301</v>
      </c>
      <c r="R11" s="81">
        <v>-9.9740000000000002</v>
      </c>
      <c r="S11" s="81">
        <v>-55.923000000000002</v>
      </c>
      <c r="T11" s="81">
        <v>-39.496000000000002</v>
      </c>
      <c r="U11" s="81">
        <v>-25.085000000000001</v>
      </c>
      <c r="V11" s="81">
        <v>-8.6639999999999997</v>
      </c>
      <c r="W11" s="81">
        <v>-53.387999999999998</v>
      </c>
      <c r="X11" s="81">
        <v>-37.659999999999997</v>
      </c>
      <c r="Y11" s="81">
        <v>-29.687000000000001</v>
      </c>
      <c r="Z11" s="81">
        <v>-11.061999999999999</v>
      </c>
      <c r="AA11" s="81">
        <v>-32.125999999999998</v>
      </c>
      <c r="AB11" s="81">
        <v>-20.065999999999999</v>
      </c>
      <c r="AC11" s="81">
        <v>-13.025</v>
      </c>
      <c r="AD11" s="81">
        <v>-4.8900000000000006</v>
      </c>
    </row>
    <row r="12" spans="1:30">
      <c r="A12" s="38" t="s">
        <v>112</v>
      </c>
      <c r="B12" s="179">
        <v>0.22100000000000009</v>
      </c>
      <c r="C12" s="77">
        <v>-1.5740000000000001</v>
      </c>
      <c r="D12" s="77">
        <v>-12.731</v>
      </c>
      <c r="E12" s="77">
        <v>3.5179999999999998</v>
      </c>
      <c r="F12" s="77">
        <v>7.2330000000000005</v>
      </c>
      <c r="G12" s="77">
        <v>-9.7949999999999999</v>
      </c>
      <c r="H12" s="77">
        <v>-7.8689999999999998</v>
      </c>
      <c r="I12" s="77">
        <v>-6.4469999999999992</v>
      </c>
      <c r="J12" s="77">
        <v>-7.8329999999999993</v>
      </c>
      <c r="K12" s="77">
        <v>-6.3150000000000004</v>
      </c>
      <c r="L12" s="77">
        <v>-8.4770000000000003</v>
      </c>
      <c r="M12" s="77">
        <v>-2.8090000000000002</v>
      </c>
      <c r="N12" s="77">
        <v>-0.37</v>
      </c>
      <c r="O12" s="77">
        <v>-0.223</v>
      </c>
      <c r="P12" s="82"/>
      <c r="Q12" s="287">
        <v>-1.353</v>
      </c>
      <c r="R12" s="81">
        <v>-1.5740000000000001</v>
      </c>
      <c r="S12" s="81">
        <v>-11.775</v>
      </c>
      <c r="T12" s="81">
        <v>0.95599999999999996</v>
      </c>
      <c r="U12" s="81">
        <v>-2.5619999999999998</v>
      </c>
      <c r="V12" s="81">
        <v>-9.7949999999999999</v>
      </c>
      <c r="W12" s="81">
        <v>-28.463999999999999</v>
      </c>
      <c r="X12" s="81">
        <v>-20.594999999999999</v>
      </c>
      <c r="Y12" s="81">
        <v>-14.148</v>
      </c>
      <c r="Z12" s="81">
        <v>-6.3150000000000004</v>
      </c>
      <c r="AA12" s="81">
        <v>-11.879</v>
      </c>
      <c r="AB12" s="81">
        <v>-3.4020000000000001</v>
      </c>
      <c r="AC12" s="81">
        <v>-0.59299999999999997</v>
      </c>
      <c r="AD12" s="81">
        <v>-0.223</v>
      </c>
    </row>
    <row r="13" spans="1:30">
      <c r="A13" s="38" t="s">
        <v>113</v>
      </c>
      <c r="B13" s="179">
        <v>0</v>
      </c>
      <c r="C13" s="77">
        <v>0</v>
      </c>
      <c r="D13" s="77">
        <v>0</v>
      </c>
      <c r="E13" s="77">
        <v>0</v>
      </c>
      <c r="F13" s="77">
        <v>0</v>
      </c>
      <c r="G13" s="77">
        <v>0</v>
      </c>
      <c r="H13" s="77">
        <v>0</v>
      </c>
      <c r="I13" s="77">
        <v>0</v>
      </c>
      <c r="J13" s="77">
        <v>0</v>
      </c>
      <c r="K13" s="77">
        <v>0</v>
      </c>
      <c r="L13" s="77">
        <v>0</v>
      </c>
      <c r="M13" s="77">
        <v>0</v>
      </c>
      <c r="N13" s="77">
        <v>0</v>
      </c>
      <c r="O13" s="77">
        <v>0</v>
      </c>
      <c r="P13" s="82"/>
      <c r="Q13" s="287">
        <v>0</v>
      </c>
      <c r="R13" s="81">
        <v>0</v>
      </c>
      <c r="S13" s="81">
        <v>0</v>
      </c>
      <c r="T13" s="81">
        <v>0</v>
      </c>
      <c r="U13" s="81">
        <v>0</v>
      </c>
      <c r="V13" s="81">
        <v>0</v>
      </c>
      <c r="W13" s="81">
        <v>0</v>
      </c>
      <c r="X13" s="81">
        <v>0</v>
      </c>
      <c r="Y13" s="81">
        <v>0</v>
      </c>
      <c r="Z13" s="81">
        <v>0</v>
      </c>
      <c r="AA13" s="81">
        <v>0</v>
      </c>
      <c r="AB13" s="81">
        <v>0</v>
      </c>
      <c r="AC13" s="81">
        <v>0</v>
      </c>
      <c r="AD13" s="81">
        <v>0</v>
      </c>
    </row>
    <row r="14" spans="1:30">
      <c r="A14" s="19" t="s">
        <v>114</v>
      </c>
      <c r="B14" s="289">
        <v>139.98000000000005</v>
      </c>
      <c r="C14" s="236">
        <v>137.864</v>
      </c>
      <c r="D14" s="236">
        <v>115.11099999999988</v>
      </c>
      <c r="E14" s="236">
        <v>155.57800000000003</v>
      </c>
      <c r="F14" s="236">
        <v>161.24999999999994</v>
      </c>
      <c r="G14" s="236">
        <v>158.33400000000006</v>
      </c>
      <c r="H14" s="236">
        <v>147.96300000000019</v>
      </c>
      <c r="I14" s="236">
        <v>153.03799999999995</v>
      </c>
      <c r="J14" s="236">
        <v>148.88399999999996</v>
      </c>
      <c r="K14" s="236">
        <v>114.29300000000002</v>
      </c>
      <c r="L14" s="236">
        <v>88.531109243673328</v>
      </c>
      <c r="M14" s="236">
        <v>55.770253751675426</v>
      </c>
      <c r="N14" s="236">
        <v>35.543249807841484</v>
      </c>
      <c r="O14" s="236">
        <v>28.676749726472885</v>
      </c>
      <c r="P14" s="84"/>
      <c r="Q14" s="288">
        <v>277.84400000000005</v>
      </c>
      <c r="R14" s="83">
        <v>137.864</v>
      </c>
      <c r="S14" s="83">
        <v>590.27299999999991</v>
      </c>
      <c r="T14" s="83">
        <v>475.16200000000003</v>
      </c>
      <c r="U14" s="83">
        <v>319.584</v>
      </c>
      <c r="V14" s="83">
        <v>158.33400000000006</v>
      </c>
      <c r="W14" s="83">
        <v>564.17800000000011</v>
      </c>
      <c r="X14" s="83">
        <v>416.21499999999992</v>
      </c>
      <c r="Y14" s="83">
        <v>263.17699999999996</v>
      </c>
      <c r="Z14" s="83">
        <v>114.29300000000002</v>
      </c>
      <c r="AA14" s="83">
        <v>208.52136252966312</v>
      </c>
      <c r="AB14" s="83">
        <v>119.99025328598979</v>
      </c>
      <c r="AC14" s="83">
        <v>64.219999534314368</v>
      </c>
      <c r="AD14" s="83">
        <v>28.676749726472885</v>
      </c>
    </row>
    <row r="15" spans="1:30">
      <c r="A15" s="38" t="s">
        <v>55</v>
      </c>
      <c r="B15" s="179">
        <v>-21.901000000000003</v>
      </c>
      <c r="C15" s="77">
        <v>-20.167999999999999</v>
      </c>
      <c r="D15" s="77">
        <v>-8.1500000000000057</v>
      </c>
      <c r="E15" s="77">
        <v>-24.777999999999999</v>
      </c>
      <c r="F15" s="77">
        <v>-23.271000000000001</v>
      </c>
      <c r="G15" s="77">
        <v>-24.93</v>
      </c>
      <c r="H15" s="77">
        <v>-10.069000000000003</v>
      </c>
      <c r="I15" s="77">
        <v>-23.143000000000001</v>
      </c>
      <c r="J15" s="77">
        <v>-21.981999999999999</v>
      </c>
      <c r="K15" s="77">
        <v>-17.786000000000001</v>
      </c>
      <c r="L15" s="77">
        <v>-12.708533032032307</v>
      </c>
      <c r="M15" s="77">
        <v>-7.4460759396987815</v>
      </c>
      <c r="N15" s="77">
        <v>-5.861271429163927</v>
      </c>
      <c r="O15" s="77">
        <v>-5.2962987262517158</v>
      </c>
      <c r="P15" s="82"/>
      <c r="Q15" s="287">
        <v>-42.069000000000003</v>
      </c>
      <c r="R15" s="81">
        <v>-20.167999999999999</v>
      </c>
      <c r="S15" s="81">
        <v>-81.129000000000005</v>
      </c>
      <c r="T15" s="81">
        <v>-72.978999999999999</v>
      </c>
      <c r="U15" s="81">
        <v>-48.201000000000001</v>
      </c>
      <c r="V15" s="81">
        <v>-24.93</v>
      </c>
      <c r="W15" s="81">
        <v>-72.98</v>
      </c>
      <c r="X15" s="81">
        <v>-62.911000000000001</v>
      </c>
      <c r="Y15" s="81">
        <v>-39.768000000000001</v>
      </c>
      <c r="Z15" s="81">
        <v>-17.786000000000001</v>
      </c>
      <c r="AA15" s="81">
        <v>-31.312179127146731</v>
      </c>
      <c r="AB15" s="81">
        <v>-18.603646095114424</v>
      </c>
      <c r="AC15" s="81">
        <v>-11.157570155415643</v>
      </c>
      <c r="AD15" s="81">
        <v>-5.2962987262517158</v>
      </c>
    </row>
    <row r="16" spans="1:30">
      <c r="A16" s="38" t="s">
        <v>115</v>
      </c>
      <c r="B16" s="179">
        <v>-0.40700000000000003</v>
      </c>
      <c r="C16" s="77">
        <v>-0.73</v>
      </c>
      <c r="D16" s="77">
        <v>0.61699999999999999</v>
      </c>
      <c r="E16" s="77">
        <v>-0.54200000000000004</v>
      </c>
      <c r="F16" s="77">
        <v>-0.45299999999999996</v>
      </c>
      <c r="G16" s="77">
        <v>-0.57799999999999996</v>
      </c>
      <c r="H16" s="77">
        <v>-4.8000000000000043E-2</v>
      </c>
      <c r="I16" s="77">
        <v>-0.78400000000000003</v>
      </c>
      <c r="J16" s="77">
        <v>-0.35299999999999998</v>
      </c>
      <c r="K16" s="77">
        <v>-0.55200000000000005</v>
      </c>
      <c r="L16" s="77">
        <v>-1.008</v>
      </c>
      <c r="M16" s="77">
        <v>-1.1970000000000001</v>
      </c>
      <c r="N16" s="77">
        <v>-0.83800000000000008</v>
      </c>
      <c r="O16" s="77">
        <v>0.17699999999999999</v>
      </c>
      <c r="P16" s="82"/>
      <c r="Q16" s="287">
        <v>-1.137</v>
      </c>
      <c r="R16" s="81">
        <v>-0.73</v>
      </c>
      <c r="S16" s="81">
        <v>-0.95599999999999996</v>
      </c>
      <c r="T16" s="81">
        <v>-1.573</v>
      </c>
      <c r="U16" s="81">
        <v>-1.0309999999999999</v>
      </c>
      <c r="V16" s="81">
        <v>-0.57799999999999996</v>
      </c>
      <c r="W16" s="81">
        <v>-1.7370000000000001</v>
      </c>
      <c r="X16" s="81">
        <v>-1.6890000000000001</v>
      </c>
      <c r="Y16" s="81">
        <v>-0.90500000000000003</v>
      </c>
      <c r="Z16" s="81">
        <v>-0.55200000000000005</v>
      </c>
      <c r="AA16" s="81">
        <v>-2.8660000000000001</v>
      </c>
      <c r="AB16" s="81">
        <v>-1.8580000000000001</v>
      </c>
      <c r="AC16" s="81">
        <v>-0.66100000000000003</v>
      </c>
      <c r="AD16" s="81">
        <v>0.17699999999999999</v>
      </c>
    </row>
    <row r="17" spans="1:30">
      <c r="A17" s="19" t="s">
        <v>116</v>
      </c>
      <c r="B17" s="289">
        <v>117.67200000000004</v>
      </c>
      <c r="C17" s="236">
        <v>116.96599999999999</v>
      </c>
      <c r="D17" s="236">
        <v>107.5779999999998</v>
      </c>
      <c r="E17" s="236">
        <v>130.2580000000001</v>
      </c>
      <c r="F17" s="236">
        <v>137.52599999999993</v>
      </c>
      <c r="G17" s="236">
        <v>132.82600000000005</v>
      </c>
      <c r="H17" s="236">
        <v>137.84600000000017</v>
      </c>
      <c r="I17" s="236">
        <v>129.11099999999993</v>
      </c>
      <c r="J17" s="236">
        <v>126.54899999999995</v>
      </c>
      <c r="K17" s="236">
        <v>95.955000000000013</v>
      </c>
      <c r="L17" s="236">
        <v>74.814576211641025</v>
      </c>
      <c r="M17" s="236">
        <v>47.127177811976637</v>
      </c>
      <c r="N17" s="236">
        <v>28.843978378677559</v>
      </c>
      <c r="O17" s="236">
        <v>23.557451000221167</v>
      </c>
      <c r="P17" s="84"/>
      <c r="Q17" s="288">
        <v>234.63800000000003</v>
      </c>
      <c r="R17" s="83">
        <v>116.96599999999999</v>
      </c>
      <c r="S17" s="83">
        <v>508.18799999999987</v>
      </c>
      <c r="T17" s="83">
        <v>400.61000000000007</v>
      </c>
      <c r="U17" s="83">
        <v>270.35199999999998</v>
      </c>
      <c r="V17" s="83">
        <v>132.82600000000005</v>
      </c>
      <c r="W17" s="83">
        <v>489.46100000000007</v>
      </c>
      <c r="X17" s="83">
        <v>351.6149999999999</v>
      </c>
      <c r="Y17" s="83">
        <v>222.50399999999996</v>
      </c>
      <c r="Z17" s="83">
        <v>95.955000000000013</v>
      </c>
      <c r="AA17" s="83">
        <v>174.34318340251639</v>
      </c>
      <c r="AB17" s="83">
        <v>99.528607190875363</v>
      </c>
      <c r="AC17" s="83">
        <v>52.401429378898726</v>
      </c>
      <c r="AD17" s="83">
        <v>23.557451000221167</v>
      </c>
    </row>
    <row r="18" spans="1:30">
      <c r="A18" s="38"/>
      <c r="B18" s="38"/>
      <c r="C18" s="38"/>
      <c r="D18" s="38"/>
      <c r="E18" s="38"/>
      <c r="F18" s="38"/>
      <c r="G18" s="38"/>
      <c r="H18" s="38"/>
      <c r="I18" s="38"/>
      <c r="J18" s="38"/>
      <c r="K18" s="38"/>
      <c r="L18" s="38"/>
      <c r="M18" s="38"/>
      <c r="N18" s="38"/>
      <c r="O18" s="38"/>
      <c r="P18" s="82"/>
      <c r="Q18" s="82"/>
      <c r="R18" s="82"/>
      <c r="S18" s="82"/>
      <c r="T18" s="82"/>
      <c r="U18" s="82"/>
      <c r="V18" s="82"/>
      <c r="W18" s="82"/>
      <c r="X18" s="82"/>
      <c r="Y18" s="82"/>
      <c r="Z18" s="82"/>
      <c r="AA18" s="82"/>
      <c r="AB18" s="82"/>
      <c r="AC18" s="82"/>
      <c r="AD18" s="82"/>
    </row>
    <row r="19" spans="1:30">
      <c r="A19" s="19" t="s">
        <v>43</v>
      </c>
      <c r="B19" s="75" t="s">
        <v>629</v>
      </c>
      <c r="C19" s="75" t="s">
        <v>606</v>
      </c>
      <c r="D19" s="75" t="s">
        <v>593</v>
      </c>
      <c r="E19" s="75" t="s">
        <v>550</v>
      </c>
      <c r="F19" s="75" t="s">
        <v>524</v>
      </c>
      <c r="G19" s="75" t="s">
        <v>513</v>
      </c>
      <c r="H19" s="75" t="s">
        <v>502</v>
      </c>
      <c r="I19" s="75" t="s">
        <v>419</v>
      </c>
      <c r="J19" s="75" t="s">
        <v>401</v>
      </c>
      <c r="K19" s="75" t="s">
        <v>387</v>
      </c>
      <c r="L19" s="75" t="s">
        <v>476</v>
      </c>
      <c r="M19" s="75" t="s">
        <v>477</v>
      </c>
      <c r="N19" s="75" t="s">
        <v>478</v>
      </c>
      <c r="O19" s="75" t="s">
        <v>479</v>
      </c>
      <c r="P19" s="75"/>
      <c r="Q19" s="75" t="s">
        <v>630</v>
      </c>
      <c r="R19" s="75" t="s">
        <v>607</v>
      </c>
      <c r="S19" s="75" t="s">
        <v>594</v>
      </c>
      <c r="T19" s="75" t="s">
        <v>551</v>
      </c>
      <c r="U19" s="75" t="s">
        <v>525</v>
      </c>
      <c r="V19" s="75" t="s">
        <v>514</v>
      </c>
      <c r="W19" s="75" t="s">
        <v>503</v>
      </c>
      <c r="X19" s="75" t="s">
        <v>420</v>
      </c>
      <c r="Y19" s="75" t="s">
        <v>402</v>
      </c>
      <c r="Z19" s="75" t="s">
        <v>388</v>
      </c>
      <c r="AA19" s="75" t="s">
        <v>715</v>
      </c>
      <c r="AB19" s="75" t="s">
        <v>716</v>
      </c>
      <c r="AC19" s="75" t="s">
        <v>717</v>
      </c>
      <c r="AD19" s="75" t="s">
        <v>718</v>
      </c>
    </row>
    <row r="20" spans="1:30">
      <c r="A20" s="21" t="s">
        <v>11</v>
      </c>
      <c r="B20" s="21"/>
      <c r="C20" s="21"/>
      <c r="D20" s="21"/>
      <c r="E20" s="21"/>
      <c r="F20" s="21"/>
      <c r="G20" s="21"/>
      <c r="H20" s="21"/>
      <c r="I20" s="21"/>
      <c r="J20" s="21"/>
      <c r="K20" s="21"/>
      <c r="L20" s="21"/>
      <c r="M20" s="21"/>
      <c r="N20" s="21"/>
      <c r="O20" s="21"/>
      <c r="P20" s="85"/>
      <c r="Q20" s="76"/>
      <c r="R20" s="76"/>
      <c r="S20" s="76"/>
      <c r="T20" s="76"/>
      <c r="U20" s="76"/>
      <c r="V20" s="76"/>
      <c r="W20" s="76"/>
      <c r="X20" s="76"/>
      <c r="Y20" s="76"/>
      <c r="Z20" s="76"/>
      <c r="AA20" s="76"/>
      <c r="AB20" s="76"/>
      <c r="AC20" s="76"/>
      <c r="AD20" s="76"/>
    </row>
    <row r="21" spans="1:30">
      <c r="A21" s="38" t="s">
        <v>44</v>
      </c>
      <c r="B21" s="179">
        <v>85.69</v>
      </c>
      <c r="C21" s="77">
        <v>91.018000000000001</v>
      </c>
      <c r="D21" s="77">
        <v>99.757000000000005</v>
      </c>
      <c r="E21" s="77">
        <v>106.28099999999998</v>
      </c>
      <c r="F21" s="77">
        <v>107.58499999999999</v>
      </c>
      <c r="G21" s="77">
        <v>106.27200000000001</v>
      </c>
      <c r="H21" s="77">
        <v>109.00500000000005</v>
      </c>
      <c r="I21" s="77">
        <v>104.48399999999998</v>
      </c>
      <c r="J21" s="77">
        <v>87.606999999999999</v>
      </c>
      <c r="K21" s="77">
        <v>80.075999999999993</v>
      </c>
      <c r="L21" s="77">
        <v>59.739999999999995</v>
      </c>
      <c r="M21" s="77">
        <v>33.734999999999999</v>
      </c>
      <c r="N21" s="77">
        <v>22.963000000000005</v>
      </c>
      <c r="O21" s="77">
        <v>20.74</v>
      </c>
      <c r="P21" s="81"/>
      <c r="Q21" s="287">
        <v>176.708</v>
      </c>
      <c r="R21" s="81">
        <v>91.018000000000001</v>
      </c>
      <c r="S21" s="81">
        <v>419.89499999999998</v>
      </c>
      <c r="T21" s="81">
        <v>320.13799999999998</v>
      </c>
      <c r="U21" s="81">
        <v>213.857</v>
      </c>
      <c r="V21" s="81">
        <v>106.27200000000001</v>
      </c>
      <c r="W21" s="81">
        <v>381.17200000000003</v>
      </c>
      <c r="X21" s="81">
        <v>272.16699999999997</v>
      </c>
      <c r="Y21" s="81">
        <v>167.68299999999999</v>
      </c>
      <c r="Z21" s="81">
        <v>80.075999999999993</v>
      </c>
      <c r="AA21" s="81">
        <v>137.178</v>
      </c>
      <c r="AB21" s="81">
        <v>77.438000000000002</v>
      </c>
      <c r="AC21" s="81">
        <v>43.703000000000003</v>
      </c>
      <c r="AD21" s="81">
        <v>20.74</v>
      </c>
    </row>
    <row r="22" spans="1:30">
      <c r="A22" s="38" t="s">
        <v>109</v>
      </c>
      <c r="B22" s="179">
        <v>16.675999999999998</v>
      </c>
      <c r="C22" s="77">
        <v>16.007999999999999</v>
      </c>
      <c r="D22" s="77">
        <v>17.293000000000006</v>
      </c>
      <c r="E22" s="77">
        <v>17.322999999999993</v>
      </c>
      <c r="F22" s="77">
        <v>16.401000000000003</v>
      </c>
      <c r="G22" s="77">
        <v>15.817</v>
      </c>
      <c r="H22" s="77">
        <v>15.527000000000001</v>
      </c>
      <c r="I22" s="77">
        <v>16.999999999999996</v>
      </c>
      <c r="J22" s="77">
        <v>15.688000000000001</v>
      </c>
      <c r="K22" s="77">
        <v>14.929</v>
      </c>
      <c r="L22" s="77">
        <v>15.898000000000003</v>
      </c>
      <c r="M22" s="77">
        <v>16.303999999999998</v>
      </c>
      <c r="N22" s="77">
        <v>15.798000000000002</v>
      </c>
      <c r="O22" s="77">
        <v>13.763999999999999</v>
      </c>
      <c r="P22" s="81"/>
      <c r="Q22" s="287">
        <v>32.683999999999997</v>
      </c>
      <c r="R22" s="81">
        <v>16.007999999999999</v>
      </c>
      <c r="S22" s="81">
        <v>66.834000000000003</v>
      </c>
      <c r="T22" s="81">
        <v>49.540999999999997</v>
      </c>
      <c r="U22" s="81">
        <v>32.218000000000004</v>
      </c>
      <c r="V22" s="81">
        <v>15.817</v>
      </c>
      <c r="W22" s="81">
        <v>63.143999999999998</v>
      </c>
      <c r="X22" s="81">
        <v>47.616999999999997</v>
      </c>
      <c r="Y22" s="81">
        <v>30.617000000000001</v>
      </c>
      <c r="Z22" s="81">
        <v>14.929</v>
      </c>
      <c r="AA22" s="81">
        <v>61.764000000000003</v>
      </c>
      <c r="AB22" s="81">
        <v>45.866</v>
      </c>
      <c r="AC22" s="81">
        <v>29.562000000000001</v>
      </c>
      <c r="AD22" s="81">
        <v>13.763999999999999</v>
      </c>
    </row>
    <row r="23" spans="1:30">
      <c r="A23" s="38" t="s">
        <v>46</v>
      </c>
      <c r="B23" s="179">
        <v>0.67100000000000004</v>
      </c>
      <c r="C23" s="77">
        <v>0.66900000000000004</v>
      </c>
      <c r="D23" s="77">
        <v>0.80900000000000016</v>
      </c>
      <c r="E23" s="77">
        <v>0.73199999999999998</v>
      </c>
      <c r="F23" s="77">
        <v>0.69899999999999995</v>
      </c>
      <c r="G23" s="77">
        <v>0.66200000000000003</v>
      </c>
      <c r="H23" s="77">
        <v>0.59699999999999998</v>
      </c>
      <c r="I23" s="77">
        <v>0.6379999999999999</v>
      </c>
      <c r="J23" s="77">
        <v>0.69900000000000007</v>
      </c>
      <c r="K23" s="77">
        <v>0.59099999999999997</v>
      </c>
      <c r="L23" s="77">
        <v>0.64000000000000012</v>
      </c>
      <c r="M23" s="77">
        <v>0.7350000000000001</v>
      </c>
      <c r="N23" s="77">
        <v>0.6369999999999999</v>
      </c>
      <c r="O23" s="77">
        <v>0.54300000000000004</v>
      </c>
      <c r="P23" s="81"/>
      <c r="Q23" s="287">
        <v>1.34</v>
      </c>
      <c r="R23" s="81">
        <v>0.66900000000000004</v>
      </c>
      <c r="S23" s="81">
        <v>2.9020000000000001</v>
      </c>
      <c r="T23" s="81">
        <v>2.093</v>
      </c>
      <c r="U23" s="81">
        <v>1.361</v>
      </c>
      <c r="V23" s="81">
        <v>0.66200000000000003</v>
      </c>
      <c r="W23" s="81">
        <v>2.5249999999999999</v>
      </c>
      <c r="X23" s="81">
        <v>1.9279999999999999</v>
      </c>
      <c r="Y23" s="81">
        <v>1.29</v>
      </c>
      <c r="Z23" s="81">
        <v>0.59099999999999997</v>
      </c>
      <c r="AA23" s="81">
        <v>2.5550000000000002</v>
      </c>
      <c r="AB23" s="81">
        <v>1.915</v>
      </c>
      <c r="AC23" s="81">
        <v>1.18</v>
      </c>
      <c r="AD23" s="81">
        <v>0.54300000000000004</v>
      </c>
    </row>
    <row r="24" spans="1:30">
      <c r="A24" s="19" t="s">
        <v>47</v>
      </c>
      <c r="B24" s="289">
        <v>103.03700000000001</v>
      </c>
      <c r="C24" s="236">
        <v>107.69499999999999</v>
      </c>
      <c r="D24" s="236">
        <v>117.85899999999998</v>
      </c>
      <c r="E24" s="236">
        <v>124.33600000000001</v>
      </c>
      <c r="F24" s="236">
        <v>124.68499999999997</v>
      </c>
      <c r="G24" s="236">
        <v>122.751</v>
      </c>
      <c r="H24" s="236">
        <v>125.12900000000002</v>
      </c>
      <c r="I24" s="236">
        <v>122.12200000000001</v>
      </c>
      <c r="J24" s="236">
        <v>103.99399999999999</v>
      </c>
      <c r="K24" s="236">
        <v>95.595999999999989</v>
      </c>
      <c r="L24" s="236">
        <v>76.278000000000006</v>
      </c>
      <c r="M24" s="236">
        <v>50.774000000000001</v>
      </c>
      <c r="N24" s="236">
        <v>39.39800000000001</v>
      </c>
      <c r="O24" s="236">
        <v>35.046999999999997</v>
      </c>
      <c r="P24" s="83"/>
      <c r="Q24" s="288">
        <v>210.732</v>
      </c>
      <c r="R24" s="83">
        <v>107.69499999999999</v>
      </c>
      <c r="S24" s="83">
        <v>489.63099999999997</v>
      </c>
      <c r="T24" s="83">
        <v>371.77199999999999</v>
      </c>
      <c r="U24" s="83">
        <v>247.43599999999998</v>
      </c>
      <c r="V24" s="83">
        <v>122.751</v>
      </c>
      <c r="W24" s="83">
        <v>446.84100000000001</v>
      </c>
      <c r="X24" s="83">
        <v>321.71199999999999</v>
      </c>
      <c r="Y24" s="83">
        <v>199.58999999999997</v>
      </c>
      <c r="Z24" s="83">
        <v>95.595999999999989</v>
      </c>
      <c r="AA24" s="83">
        <v>201.49700000000001</v>
      </c>
      <c r="AB24" s="83">
        <v>125.21900000000001</v>
      </c>
      <c r="AC24" s="83">
        <v>74.445000000000007</v>
      </c>
      <c r="AD24" s="83">
        <v>35.046999999999997</v>
      </c>
    </row>
    <row r="25" spans="1:30">
      <c r="A25" s="19" t="s">
        <v>50</v>
      </c>
      <c r="B25" s="289">
        <v>-44.974999999999994</v>
      </c>
      <c r="C25" s="236">
        <v>-43.405000000000001</v>
      </c>
      <c r="D25" s="236">
        <v>-50.419999999999987</v>
      </c>
      <c r="E25" s="236">
        <v>-49.941000000000003</v>
      </c>
      <c r="F25" s="236">
        <v>-41.951000000000008</v>
      </c>
      <c r="G25" s="236">
        <v>-42.585999999999999</v>
      </c>
      <c r="H25" s="236">
        <v>-43.356999999999999</v>
      </c>
      <c r="I25" s="236">
        <v>-43.183999999999997</v>
      </c>
      <c r="J25" s="236">
        <v>-35.635000000000005</v>
      </c>
      <c r="K25" s="236">
        <v>-40.680999999999997</v>
      </c>
      <c r="L25" s="236">
        <v>-39.548000000000016</v>
      </c>
      <c r="M25" s="236">
        <v>-34.935999999999993</v>
      </c>
      <c r="N25" s="236">
        <v>-38.401000000000003</v>
      </c>
      <c r="O25" s="236">
        <v>-41.235999999999997</v>
      </c>
      <c r="P25" s="83"/>
      <c r="Q25" s="288">
        <v>-88.38</v>
      </c>
      <c r="R25" s="83">
        <v>-43.405000000000001</v>
      </c>
      <c r="S25" s="83">
        <v>-184.898</v>
      </c>
      <c r="T25" s="83">
        <v>-134.47800000000001</v>
      </c>
      <c r="U25" s="83">
        <v>-84.537000000000006</v>
      </c>
      <c r="V25" s="83">
        <v>-42.585999999999999</v>
      </c>
      <c r="W25" s="83">
        <v>-162.857</v>
      </c>
      <c r="X25" s="83">
        <v>-119.5</v>
      </c>
      <c r="Y25" s="83">
        <v>-76.316000000000003</v>
      </c>
      <c r="Z25" s="83">
        <v>-40.680999999999997</v>
      </c>
      <c r="AA25" s="83">
        <v>-154.12100000000001</v>
      </c>
      <c r="AB25" s="83">
        <v>-114.57299999999999</v>
      </c>
      <c r="AC25" s="83">
        <v>-79.637</v>
      </c>
      <c r="AD25" s="83">
        <v>-41.235999999999997</v>
      </c>
    </row>
    <row r="26" spans="1:30">
      <c r="A26" s="19" t="s">
        <v>110</v>
      </c>
      <c r="B26" s="289">
        <v>58.062000000000012</v>
      </c>
      <c r="C26" s="236">
        <v>64.289999999999992</v>
      </c>
      <c r="D26" s="236">
        <v>67.438999999999965</v>
      </c>
      <c r="E26" s="236">
        <v>74.39500000000001</v>
      </c>
      <c r="F26" s="236">
        <v>82.733999999999966</v>
      </c>
      <c r="G26" s="236">
        <v>80.165000000000006</v>
      </c>
      <c r="H26" s="236">
        <v>81.772000000000048</v>
      </c>
      <c r="I26" s="236">
        <v>78.938000000000017</v>
      </c>
      <c r="J26" s="236">
        <v>68.35899999999998</v>
      </c>
      <c r="K26" s="236">
        <v>54.914999999999992</v>
      </c>
      <c r="L26" s="236">
        <v>36.72999999999999</v>
      </c>
      <c r="M26" s="236">
        <v>15.838000000000008</v>
      </c>
      <c r="N26" s="236">
        <v>0.99700000000000699</v>
      </c>
      <c r="O26" s="236">
        <v>-6.1890000000000001</v>
      </c>
      <c r="P26" s="83"/>
      <c r="Q26" s="288">
        <v>122.352</v>
      </c>
      <c r="R26" s="83">
        <v>64.289999999999992</v>
      </c>
      <c r="S26" s="83">
        <v>304.73299999999995</v>
      </c>
      <c r="T26" s="83">
        <v>237.29399999999998</v>
      </c>
      <c r="U26" s="83">
        <v>162.89899999999997</v>
      </c>
      <c r="V26" s="83">
        <v>80.165000000000006</v>
      </c>
      <c r="W26" s="83">
        <v>283.98400000000004</v>
      </c>
      <c r="X26" s="83">
        <v>202.21199999999999</v>
      </c>
      <c r="Y26" s="83">
        <v>123.27399999999997</v>
      </c>
      <c r="Z26" s="83">
        <v>54.914999999999992</v>
      </c>
      <c r="AA26" s="83">
        <v>47.376000000000005</v>
      </c>
      <c r="AB26" s="83">
        <v>10.646000000000015</v>
      </c>
      <c r="AC26" s="83">
        <v>-5.1919999999999931</v>
      </c>
      <c r="AD26" s="83">
        <v>-6.1890000000000001</v>
      </c>
    </row>
    <row r="27" spans="1:30" ht="29.25" customHeight="1">
      <c r="A27" s="79" t="s">
        <v>459</v>
      </c>
      <c r="B27" s="179">
        <v>-5.1579999999999995</v>
      </c>
      <c r="C27" s="77">
        <v>-2.4910000000000001</v>
      </c>
      <c r="D27" s="77">
        <v>-1.4269999999999996</v>
      </c>
      <c r="E27" s="77">
        <v>-1.2119999999999997</v>
      </c>
      <c r="F27" s="77">
        <v>-8.7560000000000002</v>
      </c>
      <c r="G27" s="77">
        <v>2.3E-2</v>
      </c>
      <c r="H27" s="77">
        <v>5.213000000000001</v>
      </c>
      <c r="I27" s="77">
        <v>-1.2050000000000001</v>
      </c>
      <c r="J27" s="77">
        <v>-2.104000000000001</v>
      </c>
      <c r="K27" s="77">
        <v>-6.6829999999999998</v>
      </c>
      <c r="L27" s="77">
        <v>1.3050000000000002</v>
      </c>
      <c r="M27" s="77">
        <v>-1.03</v>
      </c>
      <c r="N27" s="77">
        <v>0.57599999999999996</v>
      </c>
      <c r="O27" s="77">
        <v>-0.16700000000000001</v>
      </c>
      <c r="P27" s="81"/>
      <c r="Q27" s="287">
        <v>-7.649</v>
      </c>
      <c r="R27" s="81">
        <v>-2.4910000000000001</v>
      </c>
      <c r="S27" s="81">
        <v>-11.372</v>
      </c>
      <c r="T27" s="81">
        <v>-9.9450000000000003</v>
      </c>
      <c r="U27" s="81">
        <v>-8.7330000000000005</v>
      </c>
      <c r="V27" s="81">
        <v>2.3E-2</v>
      </c>
      <c r="W27" s="81">
        <v>-4.7789999999999999</v>
      </c>
      <c r="X27" s="81">
        <v>-9.9920000000000009</v>
      </c>
      <c r="Y27" s="81">
        <v>-8.7870000000000008</v>
      </c>
      <c r="Z27" s="81">
        <v>-6.6829999999999998</v>
      </c>
      <c r="AA27" s="81">
        <v>0.68400000000000005</v>
      </c>
      <c r="AB27" s="81">
        <v>-0.621</v>
      </c>
      <c r="AC27" s="81">
        <v>0.40899999999999997</v>
      </c>
      <c r="AD27" s="81">
        <v>-0.16700000000000001</v>
      </c>
    </row>
    <row r="28" spans="1:30">
      <c r="A28" s="38" t="s">
        <v>111</v>
      </c>
      <c r="B28" s="179">
        <v>0</v>
      </c>
      <c r="C28" s="77">
        <v>0</v>
      </c>
      <c r="D28" s="77">
        <v>0</v>
      </c>
      <c r="E28" s="77">
        <v>0</v>
      </c>
      <c r="F28" s="77">
        <v>0</v>
      </c>
      <c r="G28" s="77">
        <v>0</v>
      </c>
      <c r="H28" s="77">
        <v>0</v>
      </c>
      <c r="I28" s="77">
        <v>0</v>
      </c>
      <c r="J28" s="77">
        <v>0</v>
      </c>
      <c r="K28" s="77">
        <v>0</v>
      </c>
      <c r="L28" s="77">
        <v>0</v>
      </c>
      <c r="M28" s="77">
        <v>0</v>
      </c>
      <c r="N28" s="77">
        <v>0</v>
      </c>
      <c r="O28" s="77">
        <v>0</v>
      </c>
      <c r="P28" s="81"/>
      <c r="Q28" s="287">
        <v>0</v>
      </c>
      <c r="R28" s="81">
        <v>0</v>
      </c>
      <c r="S28" s="81">
        <v>0</v>
      </c>
      <c r="T28" s="81">
        <v>0</v>
      </c>
      <c r="U28" s="81">
        <v>0</v>
      </c>
      <c r="V28" s="81">
        <v>0</v>
      </c>
      <c r="W28" s="81">
        <v>0</v>
      </c>
      <c r="X28" s="81">
        <v>0</v>
      </c>
      <c r="Y28" s="81">
        <v>0</v>
      </c>
      <c r="Z28" s="81">
        <v>0</v>
      </c>
      <c r="AA28" s="81">
        <v>0</v>
      </c>
      <c r="AB28" s="81">
        <v>0</v>
      </c>
      <c r="AC28" s="81">
        <v>0</v>
      </c>
      <c r="AD28" s="81">
        <v>0</v>
      </c>
    </row>
    <row r="29" spans="1:30">
      <c r="A29" s="38" t="s">
        <v>112</v>
      </c>
      <c r="B29" s="179">
        <v>0</v>
      </c>
      <c r="C29" s="77">
        <v>0</v>
      </c>
      <c r="D29" s="77">
        <v>0</v>
      </c>
      <c r="E29" s="77">
        <v>0</v>
      </c>
      <c r="F29" s="77">
        <v>0</v>
      </c>
      <c r="G29" s="77">
        <v>0</v>
      </c>
      <c r="H29" s="77">
        <v>0</v>
      </c>
      <c r="I29" s="77">
        <v>0</v>
      </c>
      <c r="J29" s="77">
        <v>0</v>
      </c>
      <c r="K29" s="77">
        <v>0</v>
      </c>
      <c r="L29" s="77">
        <v>0</v>
      </c>
      <c r="M29" s="77">
        <v>0</v>
      </c>
      <c r="N29" s="77">
        <v>0</v>
      </c>
      <c r="O29" s="77">
        <v>0</v>
      </c>
      <c r="P29" s="81"/>
      <c r="Q29" s="287">
        <v>0</v>
      </c>
      <c r="R29" s="81">
        <v>0</v>
      </c>
      <c r="S29" s="81">
        <v>0</v>
      </c>
      <c r="T29" s="81">
        <v>0</v>
      </c>
      <c r="U29" s="81">
        <v>0</v>
      </c>
      <c r="V29" s="81">
        <v>0</v>
      </c>
      <c r="W29" s="81">
        <v>0</v>
      </c>
      <c r="X29" s="81">
        <v>0</v>
      </c>
      <c r="Y29" s="81">
        <v>0</v>
      </c>
      <c r="Z29" s="81">
        <v>0</v>
      </c>
      <c r="AA29" s="81">
        <v>0</v>
      </c>
      <c r="AB29" s="81">
        <v>0</v>
      </c>
      <c r="AC29" s="81">
        <v>0</v>
      </c>
      <c r="AD29" s="81">
        <v>0</v>
      </c>
    </row>
    <row r="30" spans="1:30">
      <c r="A30" s="38" t="s">
        <v>113</v>
      </c>
      <c r="B30" s="179">
        <v>0</v>
      </c>
      <c r="C30" s="77">
        <v>0</v>
      </c>
      <c r="D30" s="77">
        <v>0</v>
      </c>
      <c r="E30" s="77">
        <v>0</v>
      </c>
      <c r="F30" s="77">
        <v>0</v>
      </c>
      <c r="G30" s="77">
        <v>0</v>
      </c>
      <c r="H30" s="77">
        <v>0</v>
      </c>
      <c r="I30" s="77">
        <v>0</v>
      </c>
      <c r="J30" s="77">
        <v>0</v>
      </c>
      <c r="K30" s="77">
        <v>0</v>
      </c>
      <c r="L30" s="77">
        <v>0</v>
      </c>
      <c r="M30" s="77">
        <v>0</v>
      </c>
      <c r="N30" s="77">
        <v>0</v>
      </c>
      <c r="O30" s="77">
        <v>0</v>
      </c>
      <c r="P30" s="81"/>
      <c r="Q30" s="287">
        <v>0</v>
      </c>
      <c r="R30" s="81">
        <v>0</v>
      </c>
      <c r="S30" s="81">
        <v>0</v>
      </c>
      <c r="T30" s="81">
        <v>0</v>
      </c>
      <c r="U30" s="81">
        <v>0</v>
      </c>
      <c r="V30" s="81">
        <v>0</v>
      </c>
      <c r="W30" s="81">
        <v>0</v>
      </c>
      <c r="X30" s="81">
        <v>0</v>
      </c>
      <c r="Y30" s="81">
        <v>0</v>
      </c>
      <c r="Z30" s="81">
        <v>0</v>
      </c>
      <c r="AA30" s="81">
        <v>0</v>
      </c>
      <c r="AB30" s="81">
        <v>0</v>
      </c>
      <c r="AC30" s="81">
        <v>0</v>
      </c>
      <c r="AD30" s="81">
        <v>0</v>
      </c>
    </row>
    <row r="31" spans="1:30">
      <c r="A31" s="19" t="s">
        <v>114</v>
      </c>
      <c r="B31" s="289">
        <v>52.904000000000011</v>
      </c>
      <c r="C31" s="236">
        <v>61.798999999999992</v>
      </c>
      <c r="D31" s="236">
        <v>66.011999999999944</v>
      </c>
      <c r="E31" s="236">
        <v>73.183000000000021</v>
      </c>
      <c r="F31" s="236">
        <v>73.977999999999966</v>
      </c>
      <c r="G31" s="236">
        <v>80.188000000000002</v>
      </c>
      <c r="H31" s="236">
        <v>86.985000000000042</v>
      </c>
      <c r="I31" s="236">
        <v>77.733000000000033</v>
      </c>
      <c r="J31" s="236">
        <v>66.254999999999967</v>
      </c>
      <c r="K31" s="236">
        <v>48.231999999999992</v>
      </c>
      <c r="L31" s="236">
        <v>38.034999999999989</v>
      </c>
      <c r="M31" s="236">
        <v>14.808000000000007</v>
      </c>
      <c r="N31" s="236">
        <v>1.5730000000000066</v>
      </c>
      <c r="O31" s="236">
        <v>-6.3559999999999999</v>
      </c>
      <c r="P31" s="83"/>
      <c r="Q31" s="288">
        <v>114.703</v>
      </c>
      <c r="R31" s="83">
        <v>61.798999999999992</v>
      </c>
      <c r="S31" s="83">
        <v>293.36099999999993</v>
      </c>
      <c r="T31" s="83">
        <v>227.34899999999999</v>
      </c>
      <c r="U31" s="83">
        <v>154.16599999999997</v>
      </c>
      <c r="V31" s="83">
        <v>80.188000000000002</v>
      </c>
      <c r="W31" s="83">
        <v>279.20500000000004</v>
      </c>
      <c r="X31" s="83">
        <v>192.22</v>
      </c>
      <c r="Y31" s="83">
        <v>114.48699999999997</v>
      </c>
      <c r="Z31" s="83">
        <v>48.231999999999992</v>
      </c>
      <c r="AA31" s="83">
        <v>48.06</v>
      </c>
      <c r="AB31" s="83">
        <v>10.025000000000015</v>
      </c>
      <c r="AC31" s="83">
        <v>-4.7829999999999933</v>
      </c>
      <c r="AD31" s="83">
        <v>-6.3559999999999999</v>
      </c>
    </row>
    <row r="32" spans="1:30">
      <c r="A32" s="38" t="s">
        <v>55</v>
      </c>
      <c r="B32" s="179">
        <v>-6.6130000000000013</v>
      </c>
      <c r="C32" s="77">
        <v>-7.724874999999999</v>
      </c>
      <c r="D32" s="77">
        <v>-2.5677749999999975</v>
      </c>
      <c r="E32" s="77">
        <v>-10.977450000000001</v>
      </c>
      <c r="F32" s="77">
        <v>-11.096699999999993</v>
      </c>
      <c r="G32" s="77">
        <v>-12.0282</v>
      </c>
      <c r="H32" s="77">
        <v>-10.873125000000005</v>
      </c>
      <c r="I32" s="77">
        <v>-9.7166250000000041</v>
      </c>
      <c r="J32" s="77">
        <v>-8.2818749999999959</v>
      </c>
      <c r="K32" s="77">
        <v>-6.028999999999999</v>
      </c>
      <c r="L32" s="77">
        <v>-4.7543749999999987</v>
      </c>
      <c r="M32" s="77">
        <v>-1.8510000000000009</v>
      </c>
      <c r="N32" s="77">
        <v>-0.19662500000000083</v>
      </c>
      <c r="O32" s="77">
        <v>0.79449999999999998</v>
      </c>
      <c r="P32" s="81"/>
      <c r="Q32" s="287">
        <v>-14.337875</v>
      </c>
      <c r="R32" s="81">
        <v>-7.724874999999999</v>
      </c>
      <c r="S32" s="81">
        <v>-36.670124999999992</v>
      </c>
      <c r="T32" s="81">
        <v>-34.102349999999994</v>
      </c>
      <c r="U32" s="81">
        <v>-23.124899999999993</v>
      </c>
      <c r="V32" s="81">
        <v>-12.0282</v>
      </c>
      <c r="W32" s="81">
        <v>-34.900625000000005</v>
      </c>
      <c r="X32" s="81">
        <v>-24.0275</v>
      </c>
      <c r="Y32" s="81">
        <v>-14.310874999999996</v>
      </c>
      <c r="Z32" s="81">
        <v>-6.028999999999999</v>
      </c>
      <c r="AA32" s="81">
        <v>-6.0075000000000003</v>
      </c>
      <c r="AB32" s="81">
        <v>-1.2531250000000018</v>
      </c>
      <c r="AC32" s="81">
        <v>0.59787499999999916</v>
      </c>
      <c r="AD32" s="81">
        <v>0.79449999999999998</v>
      </c>
    </row>
    <row r="33" spans="1:30">
      <c r="A33" s="38" t="s">
        <v>115</v>
      </c>
      <c r="B33" s="179">
        <v>0</v>
      </c>
      <c r="C33" s="77">
        <v>0</v>
      </c>
      <c r="D33" s="77">
        <v>0</v>
      </c>
      <c r="E33" s="77">
        <v>0</v>
      </c>
      <c r="F33" s="77">
        <v>0</v>
      </c>
      <c r="G33" s="77">
        <v>0</v>
      </c>
      <c r="H33" s="77">
        <v>0</v>
      </c>
      <c r="I33" s="77">
        <v>0</v>
      </c>
      <c r="J33" s="77">
        <v>0</v>
      </c>
      <c r="K33" s="77">
        <v>0</v>
      </c>
      <c r="L33" s="77">
        <v>0</v>
      </c>
      <c r="M33" s="77">
        <v>0</v>
      </c>
      <c r="N33" s="77">
        <v>0</v>
      </c>
      <c r="O33" s="77">
        <v>0</v>
      </c>
      <c r="P33" s="81"/>
      <c r="Q33" s="287">
        <v>0</v>
      </c>
      <c r="R33" s="81">
        <v>0</v>
      </c>
      <c r="S33" s="81">
        <v>0</v>
      </c>
      <c r="T33" s="81">
        <v>0</v>
      </c>
      <c r="U33" s="81">
        <v>0</v>
      </c>
      <c r="V33" s="81">
        <v>0</v>
      </c>
      <c r="W33" s="81">
        <v>0</v>
      </c>
      <c r="X33" s="81">
        <v>0</v>
      </c>
      <c r="Y33" s="81">
        <v>0</v>
      </c>
      <c r="Z33" s="81">
        <v>0</v>
      </c>
      <c r="AA33" s="81">
        <v>0</v>
      </c>
      <c r="AB33" s="81">
        <v>0</v>
      </c>
      <c r="AC33" s="81">
        <v>0</v>
      </c>
      <c r="AD33" s="81">
        <v>0</v>
      </c>
    </row>
    <row r="34" spans="1:30">
      <c r="A34" s="19" t="s">
        <v>116</v>
      </c>
      <c r="B34" s="289">
        <v>46.291000000000011</v>
      </c>
      <c r="C34" s="236">
        <v>54.074124999999995</v>
      </c>
      <c r="D34" s="236">
        <v>63.44422499999996</v>
      </c>
      <c r="E34" s="236">
        <v>62.205550000000017</v>
      </c>
      <c r="F34" s="236">
        <v>62.881299999999968</v>
      </c>
      <c r="G34" s="236">
        <v>68.159800000000004</v>
      </c>
      <c r="H34" s="236">
        <v>76.111875000000055</v>
      </c>
      <c r="I34" s="236">
        <v>68.016375000000025</v>
      </c>
      <c r="J34" s="236">
        <v>57.973124999999975</v>
      </c>
      <c r="K34" s="236">
        <v>42.202999999999996</v>
      </c>
      <c r="L34" s="236">
        <v>33.280624999999986</v>
      </c>
      <c r="M34" s="236">
        <v>12.957000000000006</v>
      </c>
      <c r="N34" s="236">
        <v>1.3763750000000057</v>
      </c>
      <c r="O34" s="236">
        <v>-5.5614999999999997</v>
      </c>
      <c r="P34" s="83"/>
      <c r="Q34" s="288">
        <v>100.36512500000001</v>
      </c>
      <c r="R34" s="83">
        <v>54.074124999999995</v>
      </c>
      <c r="S34" s="83">
        <v>256.69087499999995</v>
      </c>
      <c r="T34" s="83">
        <v>193.24664999999999</v>
      </c>
      <c r="U34" s="83">
        <v>131.04109999999997</v>
      </c>
      <c r="V34" s="83">
        <v>68.159800000000004</v>
      </c>
      <c r="W34" s="83">
        <v>244.30437500000005</v>
      </c>
      <c r="X34" s="83">
        <v>168.1925</v>
      </c>
      <c r="Y34" s="83">
        <v>100.17612499999997</v>
      </c>
      <c r="Z34" s="83">
        <v>42.202999999999996</v>
      </c>
      <c r="AA34" s="83">
        <v>42.052500000000002</v>
      </c>
      <c r="AB34" s="83">
        <v>8.7718750000000121</v>
      </c>
      <c r="AC34" s="83">
        <v>-4.185124999999994</v>
      </c>
      <c r="AD34" s="83">
        <v>-5.5614999999999997</v>
      </c>
    </row>
    <row r="35" spans="1:30">
      <c r="A35" s="25"/>
      <c r="B35" s="25"/>
      <c r="C35" s="25"/>
      <c r="D35" s="25"/>
      <c r="E35" s="25"/>
      <c r="F35" s="25"/>
      <c r="G35" s="25"/>
      <c r="H35" s="25"/>
      <c r="I35" s="25"/>
      <c r="J35" s="25"/>
      <c r="K35" s="25"/>
      <c r="L35" s="25"/>
      <c r="M35" s="25"/>
      <c r="N35" s="25"/>
      <c r="O35" s="25"/>
      <c r="P35" s="82"/>
      <c r="Q35" s="81"/>
      <c r="R35" s="81"/>
      <c r="S35" s="81"/>
      <c r="T35" s="81"/>
      <c r="U35" s="81"/>
      <c r="V35" s="81"/>
      <c r="W35" s="81"/>
      <c r="X35" s="81"/>
      <c r="Y35" s="81"/>
      <c r="Z35" s="81"/>
      <c r="AA35" s="81"/>
      <c r="AB35" s="81"/>
      <c r="AC35" s="81"/>
      <c r="AD35" s="81"/>
    </row>
    <row r="36" spans="1:30">
      <c r="A36" s="19" t="s">
        <v>43</v>
      </c>
      <c r="B36" s="75" t="s">
        <v>629</v>
      </c>
      <c r="C36" s="75" t="s">
        <v>606</v>
      </c>
      <c r="D36" s="75" t="s">
        <v>593</v>
      </c>
      <c r="E36" s="75" t="s">
        <v>550</v>
      </c>
      <c r="F36" s="75" t="s">
        <v>524</v>
      </c>
      <c r="G36" s="75" t="s">
        <v>513</v>
      </c>
      <c r="H36" s="75" t="s">
        <v>502</v>
      </c>
      <c r="I36" s="75" t="s">
        <v>419</v>
      </c>
      <c r="J36" s="75" t="s">
        <v>401</v>
      </c>
      <c r="K36" s="75" t="s">
        <v>387</v>
      </c>
      <c r="L36" s="75" t="s">
        <v>476</v>
      </c>
      <c r="M36" s="75" t="s">
        <v>477</v>
      </c>
      <c r="N36" s="75" t="s">
        <v>478</v>
      </c>
      <c r="O36" s="75" t="s">
        <v>479</v>
      </c>
      <c r="P36" s="75"/>
      <c r="Q36" s="75" t="s">
        <v>630</v>
      </c>
      <c r="R36" s="75" t="s">
        <v>607</v>
      </c>
      <c r="S36" s="75" t="s">
        <v>594</v>
      </c>
      <c r="T36" s="75" t="s">
        <v>551</v>
      </c>
      <c r="U36" s="75" t="s">
        <v>525</v>
      </c>
      <c r="V36" s="75" t="s">
        <v>514</v>
      </c>
      <c r="W36" s="75" t="s">
        <v>503</v>
      </c>
      <c r="X36" s="75" t="s">
        <v>420</v>
      </c>
      <c r="Y36" s="75" t="s">
        <v>402</v>
      </c>
      <c r="Z36" s="75" t="s">
        <v>388</v>
      </c>
      <c r="AA36" s="75" t="s">
        <v>715</v>
      </c>
      <c r="AB36" s="75" t="s">
        <v>716</v>
      </c>
      <c r="AC36" s="75" t="s">
        <v>717</v>
      </c>
      <c r="AD36" s="75" t="s">
        <v>718</v>
      </c>
    </row>
    <row r="37" spans="1:30">
      <c r="A37" s="21" t="s">
        <v>117</v>
      </c>
      <c r="B37" s="21"/>
      <c r="C37" s="21"/>
      <c r="D37" s="21"/>
      <c r="E37" s="21"/>
      <c r="F37" s="21"/>
      <c r="G37" s="21"/>
      <c r="H37" s="21"/>
      <c r="I37" s="21"/>
      <c r="J37" s="21"/>
      <c r="K37" s="21"/>
      <c r="L37" s="21"/>
      <c r="M37" s="21"/>
      <c r="N37" s="21"/>
      <c r="O37" s="21"/>
      <c r="P37" s="85"/>
      <c r="Q37" s="85"/>
      <c r="R37" s="85"/>
      <c r="S37" s="85"/>
      <c r="T37" s="85"/>
      <c r="U37" s="85"/>
      <c r="V37" s="85"/>
      <c r="W37" s="85"/>
      <c r="X37" s="85"/>
      <c r="Y37" s="85"/>
      <c r="Z37" s="85"/>
      <c r="AA37" s="85"/>
      <c r="AB37" s="85"/>
      <c r="AC37" s="85"/>
      <c r="AD37" s="85"/>
    </row>
    <row r="38" spans="1:30">
      <c r="A38" s="38" t="s">
        <v>44</v>
      </c>
      <c r="B38" s="179">
        <v>13.11</v>
      </c>
      <c r="C38" s="77">
        <v>13.384</v>
      </c>
      <c r="D38" s="77">
        <v>14.399000000000001</v>
      </c>
      <c r="E38" s="77">
        <v>15.123000000000001</v>
      </c>
      <c r="F38" s="77">
        <v>14.939</v>
      </c>
      <c r="G38" s="77">
        <v>14.516999999999999</v>
      </c>
      <c r="H38" s="77">
        <v>15.469999999999999</v>
      </c>
      <c r="I38" s="77">
        <v>15.077999999999999</v>
      </c>
      <c r="J38" s="77">
        <v>12.438000000000001</v>
      </c>
      <c r="K38" s="77">
        <v>13.365</v>
      </c>
      <c r="L38" s="77">
        <v>12.102</v>
      </c>
      <c r="M38" s="77">
        <v>8.2629999999999999</v>
      </c>
      <c r="N38" s="77">
        <v>7.3289999999999988</v>
      </c>
      <c r="O38" s="77">
        <v>7.1660000000000004</v>
      </c>
      <c r="P38" s="81"/>
      <c r="Q38" s="287">
        <v>26.494</v>
      </c>
      <c r="R38" s="81">
        <v>13.384</v>
      </c>
      <c r="S38" s="81">
        <v>58.978000000000002</v>
      </c>
      <c r="T38" s="81">
        <v>44.579000000000001</v>
      </c>
      <c r="U38" s="81">
        <v>29.456</v>
      </c>
      <c r="V38" s="81">
        <v>14.516999999999999</v>
      </c>
      <c r="W38" s="81">
        <v>56.350999999999999</v>
      </c>
      <c r="X38" s="81">
        <v>40.881</v>
      </c>
      <c r="Y38" s="81">
        <v>25.803000000000001</v>
      </c>
      <c r="Z38" s="81">
        <v>13.365</v>
      </c>
      <c r="AA38" s="81">
        <v>34.86</v>
      </c>
      <c r="AB38" s="81">
        <v>22.757999999999999</v>
      </c>
      <c r="AC38" s="81">
        <v>14.494999999999999</v>
      </c>
      <c r="AD38" s="81">
        <v>7.1660000000000004</v>
      </c>
    </row>
    <row r="39" spans="1:30">
      <c r="A39" s="38" t="s">
        <v>109</v>
      </c>
      <c r="B39" s="179">
        <v>2.66</v>
      </c>
      <c r="C39" s="77">
        <v>2.5640000000000001</v>
      </c>
      <c r="D39" s="77">
        <v>2.4640000000000004</v>
      </c>
      <c r="E39" s="77">
        <v>2.66</v>
      </c>
      <c r="F39" s="77">
        <v>2.3169999999999997</v>
      </c>
      <c r="G39" s="77">
        <v>2.2570000000000001</v>
      </c>
      <c r="H39" s="77">
        <v>2.8040000000000003</v>
      </c>
      <c r="I39" s="77">
        <v>2.3229999999999995</v>
      </c>
      <c r="J39" s="77">
        <v>2.6860000000000004</v>
      </c>
      <c r="K39" s="77">
        <v>2.6389999999999998</v>
      </c>
      <c r="L39" s="77">
        <v>3.0850000000000009</v>
      </c>
      <c r="M39" s="77">
        <v>3.0809999999999995</v>
      </c>
      <c r="N39" s="77">
        <v>3.0149999999999997</v>
      </c>
      <c r="O39" s="77">
        <v>2.5720000000000001</v>
      </c>
      <c r="P39" s="81"/>
      <c r="Q39" s="287">
        <v>5.2240000000000002</v>
      </c>
      <c r="R39" s="81">
        <v>2.5640000000000001</v>
      </c>
      <c r="S39" s="81">
        <v>9.6980000000000004</v>
      </c>
      <c r="T39" s="81">
        <v>7.234</v>
      </c>
      <c r="U39" s="81">
        <v>4.5739999999999998</v>
      </c>
      <c r="V39" s="81">
        <v>2.2570000000000001</v>
      </c>
      <c r="W39" s="81">
        <v>10.452</v>
      </c>
      <c r="X39" s="81">
        <v>7.6479999999999997</v>
      </c>
      <c r="Y39" s="81">
        <v>5.3250000000000002</v>
      </c>
      <c r="Z39" s="81">
        <v>2.6389999999999998</v>
      </c>
      <c r="AA39" s="81">
        <v>11.753</v>
      </c>
      <c r="AB39" s="81">
        <v>8.6679999999999993</v>
      </c>
      <c r="AC39" s="81">
        <v>5.5869999999999997</v>
      </c>
      <c r="AD39" s="81">
        <v>2.5720000000000001</v>
      </c>
    </row>
    <row r="40" spans="1:30">
      <c r="A40" s="38" t="s">
        <v>46</v>
      </c>
      <c r="B40" s="179">
        <v>0.22700000000000001</v>
      </c>
      <c r="C40" s="77">
        <v>0.20699999999999999</v>
      </c>
      <c r="D40" s="77">
        <v>0.21200000000000008</v>
      </c>
      <c r="E40" s="77">
        <v>0.20499999999999996</v>
      </c>
      <c r="F40" s="77">
        <v>0.187</v>
      </c>
      <c r="G40" s="77">
        <v>0.184</v>
      </c>
      <c r="H40" s="77">
        <v>0.26999999999999996</v>
      </c>
      <c r="I40" s="77">
        <v>0.14700000000000002</v>
      </c>
      <c r="J40" s="77">
        <v>0.16199999999999998</v>
      </c>
      <c r="K40" s="77">
        <v>0.13700000000000001</v>
      </c>
      <c r="L40" s="77">
        <v>0.15799999999999997</v>
      </c>
      <c r="M40" s="77">
        <v>0.16000000000000003</v>
      </c>
      <c r="N40" s="77">
        <v>0.15099999999999997</v>
      </c>
      <c r="O40" s="77">
        <v>0.13800000000000001</v>
      </c>
      <c r="P40" s="81"/>
      <c r="Q40" s="287">
        <v>0.434</v>
      </c>
      <c r="R40" s="81">
        <v>0.20699999999999999</v>
      </c>
      <c r="S40" s="81">
        <v>0.78800000000000003</v>
      </c>
      <c r="T40" s="81">
        <v>0.57599999999999996</v>
      </c>
      <c r="U40" s="81">
        <v>0.371</v>
      </c>
      <c r="V40" s="81">
        <v>0.184</v>
      </c>
      <c r="W40" s="81">
        <v>0.71599999999999997</v>
      </c>
      <c r="X40" s="81">
        <v>0.44600000000000001</v>
      </c>
      <c r="Y40" s="81">
        <v>0.29899999999999999</v>
      </c>
      <c r="Z40" s="81">
        <v>0.13700000000000001</v>
      </c>
      <c r="AA40" s="81">
        <v>0.60699999999999998</v>
      </c>
      <c r="AB40" s="81">
        <v>0.44900000000000001</v>
      </c>
      <c r="AC40" s="81">
        <v>0.28899999999999998</v>
      </c>
      <c r="AD40" s="81">
        <v>0.13800000000000001</v>
      </c>
    </row>
    <row r="41" spans="1:30">
      <c r="A41" s="19" t="s">
        <v>47</v>
      </c>
      <c r="B41" s="289">
        <v>15.997</v>
      </c>
      <c r="C41" s="236">
        <v>16.155000000000001</v>
      </c>
      <c r="D41" s="236">
        <v>17.074999999999996</v>
      </c>
      <c r="E41" s="236">
        <v>17.988</v>
      </c>
      <c r="F41" s="236">
        <v>17.443000000000001</v>
      </c>
      <c r="G41" s="236">
        <v>16.958000000000002</v>
      </c>
      <c r="H41" s="236">
        <v>18.543999999999997</v>
      </c>
      <c r="I41" s="236">
        <v>17.547999999999995</v>
      </c>
      <c r="J41" s="236">
        <v>15.285999999999998</v>
      </c>
      <c r="K41" s="236">
        <v>16.141000000000002</v>
      </c>
      <c r="L41" s="236">
        <v>15.344999999999999</v>
      </c>
      <c r="M41" s="236">
        <v>11.503999999999998</v>
      </c>
      <c r="N41" s="236">
        <v>10.495000000000003</v>
      </c>
      <c r="O41" s="236">
        <v>9.8759999999999994</v>
      </c>
      <c r="P41" s="83"/>
      <c r="Q41" s="288">
        <v>32.152000000000001</v>
      </c>
      <c r="R41" s="83">
        <v>16.155000000000001</v>
      </c>
      <c r="S41" s="83">
        <v>69.463999999999999</v>
      </c>
      <c r="T41" s="83">
        <v>52.389000000000003</v>
      </c>
      <c r="U41" s="83">
        <v>34.401000000000003</v>
      </c>
      <c r="V41" s="83">
        <v>16.958000000000002</v>
      </c>
      <c r="W41" s="83">
        <v>67.518999999999991</v>
      </c>
      <c r="X41" s="83">
        <v>48.974999999999994</v>
      </c>
      <c r="Y41" s="83">
        <v>31.427</v>
      </c>
      <c r="Z41" s="83">
        <v>16.141000000000002</v>
      </c>
      <c r="AA41" s="83">
        <v>47.22</v>
      </c>
      <c r="AB41" s="83">
        <v>31.875</v>
      </c>
      <c r="AC41" s="83">
        <v>20.371000000000002</v>
      </c>
      <c r="AD41" s="83">
        <v>9.8759999999999994</v>
      </c>
    </row>
    <row r="42" spans="1:30">
      <c r="A42" s="19" t="s">
        <v>50</v>
      </c>
      <c r="B42" s="289">
        <v>-5.947000000000001</v>
      </c>
      <c r="C42" s="236">
        <v>-5.67</v>
      </c>
      <c r="D42" s="236">
        <v>-5.8610000000000007</v>
      </c>
      <c r="E42" s="236">
        <v>-5.8529999999999998</v>
      </c>
      <c r="F42" s="236">
        <v>-5.6309999999999993</v>
      </c>
      <c r="G42" s="236">
        <v>-5.9279999999999999</v>
      </c>
      <c r="H42" s="236">
        <v>-6.1090000000000018</v>
      </c>
      <c r="I42" s="236">
        <v>-5.8569999999999975</v>
      </c>
      <c r="J42" s="236">
        <v>-5.1700000000000008</v>
      </c>
      <c r="K42" s="236">
        <v>-5.242</v>
      </c>
      <c r="L42" s="236">
        <v>-6.0859999999999985</v>
      </c>
      <c r="M42" s="236">
        <v>-5.4690000000000012</v>
      </c>
      <c r="N42" s="236">
        <v>-5.746999999999999</v>
      </c>
      <c r="O42" s="236">
        <v>-5.6130000000000004</v>
      </c>
      <c r="P42" s="83"/>
      <c r="Q42" s="288">
        <v>-11.617000000000001</v>
      </c>
      <c r="R42" s="83">
        <v>-5.67</v>
      </c>
      <c r="S42" s="83">
        <v>-23.273</v>
      </c>
      <c r="T42" s="83">
        <v>-17.411999999999999</v>
      </c>
      <c r="U42" s="83">
        <v>-11.558999999999999</v>
      </c>
      <c r="V42" s="83">
        <v>-5.9279999999999999</v>
      </c>
      <c r="W42" s="83">
        <v>-22.378</v>
      </c>
      <c r="X42" s="83">
        <v>-16.268999999999998</v>
      </c>
      <c r="Y42" s="83">
        <v>-10.412000000000001</v>
      </c>
      <c r="Z42" s="83">
        <v>-5.242</v>
      </c>
      <c r="AA42" s="83">
        <v>-22.914999999999999</v>
      </c>
      <c r="AB42" s="83">
        <v>-16.829000000000001</v>
      </c>
      <c r="AC42" s="83">
        <v>-11.36</v>
      </c>
      <c r="AD42" s="83">
        <v>-5.6130000000000004</v>
      </c>
    </row>
    <row r="43" spans="1:30">
      <c r="A43" s="19" t="s">
        <v>110</v>
      </c>
      <c r="B43" s="289">
        <v>10.049999999999999</v>
      </c>
      <c r="C43" s="236">
        <v>10.485000000000001</v>
      </c>
      <c r="D43" s="236">
        <v>11.213999999999999</v>
      </c>
      <c r="E43" s="236">
        <v>12.134999999999998</v>
      </c>
      <c r="F43" s="236">
        <v>11.812000000000005</v>
      </c>
      <c r="G43" s="236">
        <v>11.030000000000001</v>
      </c>
      <c r="H43" s="236">
        <v>12.434999999999995</v>
      </c>
      <c r="I43" s="236">
        <v>11.690999999999995</v>
      </c>
      <c r="J43" s="236">
        <v>10.116</v>
      </c>
      <c r="K43" s="236">
        <v>10.899000000000001</v>
      </c>
      <c r="L43" s="236">
        <v>9.2590000000000003</v>
      </c>
      <c r="M43" s="236">
        <v>6.0349999999999966</v>
      </c>
      <c r="N43" s="236">
        <v>4.7480000000000038</v>
      </c>
      <c r="O43" s="236">
        <v>4.262999999999999</v>
      </c>
      <c r="P43" s="83"/>
      <c r="Q43" s="288">
        <v>20.535</v>
      </c>
      <c r="R43" s="83">
        <v>10.485000000000001</v>
      </c>
      <c r="S43" s="83">
        <v>46.191000000000003</v>
      </c>
      <c r="T43" s="83">
        <v>34.977000000000004</v>
      </c>
      <c r="U43" s="83">
        <v>22.842000000000006</v>
      </c>
      <c r="V43" s="83">
        <v>11.030000000000001</v>
      </c>
      <c r="W43" s="83">
        <v>45.140999999999991</v>
      </c>
      <c r="X43" s="83">
        <v>32.705999999999996</v>
      </c>
      <c r="Y43" s="83">
        <v>21.015000000000001</v>
      </c>
      <c r="Z43" s="83">
        <v>10.899000000000001</v>
      </c>
      <c r="AA43" s="83">
        <v>24.305</v>
      </c>
      <c r="AB43" s="83">
        <v>15.045999999999999</v>
      </c>
      <c r="AC43" s="83">
        <v>9.0110000000000028</v>
      </c>
      <c r="AD43" s="83">
        <v>4.262999999999999</v>
      </c>
    </row>
    <row r="44" spans="1:30" ht="27.75" customHeight="1">
      <c r="A44" s="79" t="s">
        <v>459</v>
      </c>
      <c r="B44" s="179">
        <v>-2.7679999999999998</v>
      </c>
      <c r="C44" s="77">
        <v>-3.798</v>
      </c>
      <c r="D44" s="77">
        <v>0.80200000000000005</v>
      </c>
      <c r="E44" s="77">
        <v>-0.9910000000000001</v>
      </c>
      <c r="F44" s="77">
        <v>-2.484</v>
      </c>
      <c r="G44" s="77">
        <v>1.518</v>
      </c>
      <c r="H44" s="77">
        <v>-0.48599999999999999</v>
      </c>
      <c r="I44" s="77">
        <v>-0.81100000000000005</v>
      </c>
      <c r="J44" s="77">
        <v>-1.3980000000000001</v>
      </c>
      <c r="K44" s="77">
        <v>1.02</v>
      </c>
      <c r="L44" s="77">
        <v>-1.4770000000000001</v>
      </c>
      <c r="M44" s="77">
        <v>-0.55100000000000005</v>
      </c>
      <c r="N44" s="77">
        <v>0.72300000000000009</v>
      </c>
      <c r="O44" s="77">
        <v>-0.17499999999999999</v>
      </c>
      <c r="P44" s="81"/>
      <c r="Q44" s="287">
        <v>-6.5659999999999998</v>
      </c>
      <c r="R44" s="81">
        <v>-3.798</v>
      </c>
      <c r="S44" s="81">
        <v>-1.155</v>
      </c>
      <c r="T44" s="81">
        <v>-1.9570000000000001</v>
      </c>
      <c r="U44" s="81">
        <v>-0.96599999999999997</v>
      </c>
      <c r="V44" s="81">
        <v>1.518</v>
      </c>
      <c r="W44" s="81">
        <v>-1.675</v>
      </c>
      <c r="X44" s="81">
        <v>-1.1890000000000001</v>
      </c>
      <c r="Y44" s="81">
        <v>-0.378</v>
      </c>
      <c r="Z44" s="81">
        <v>1.02</v>
      </c>
      <c r="AA44" s="81">
        <v>-1.48</v>
      </c>
      <c r="AB44" s="81">
        <v>-3.0000000000000001E-3</v>
      </c>
      <c r="AC44" s="81">
        <v>0.54800000000000004</v>
      </c>
      <c r="AD44" s="81">
        <v>-0.17499999999999999</v>
      </c>
    </row>
    <row r="45" spans="1:30">
      <c r="A45" s="38" t="s">
        <v>111</v>
      </c>
      <c r="B45" s="179">
        <v>0</v>
      </c>
      <c r="C45" s="77">
        <v>0</v>
      </c>
      <c r="D45" s="77">
        <v>0</v>
      </c>
      <c r="E45" s="77">
        <v>0</v>
      </c>
      <c r="F45" s="77">
        <v>0</v>
      </c>
      <c r="G45" s="77">
        <v>0</v>
      </c>
      <c r="H45" s="77">
        <v>0</v>
      </c>
      <c r="I45" s="77">
        <v>0</v>
      </c>
      <c r="J45" s="77">
        <v>0</v>
      </c>
      <c r="K45" s="77">
        <v>0</v>
      </c>
      <c r="L45" s="77">
        <v>0</v>
      </c>
      <c r="M45" s="77">
        <v>0</v>
      </c>
      <c r="N45" s="77">
        <v>0</v>
      </c>
      <c r="O45" s="77">
        <v>0</v>
      </c>
      <c r="P45" s="81"/>
      <c r="Q45" s="287">
        <v>0</v>
      </c>
      <c r="R45" s="81">
        <v>0</v>
      </c>
      <c r="S45" s="81">
        <v>0</v>
      </c>
      <c r="T45" s="81">
        <v>0</v>
      </c>
      <c r="U45" s="81">
        <v>0</v>
      </c>
      <c r="V45" s="81">
        <v>0</v>
      </c>
      <c r="W45" s="81">
        <v>0</v>
      </c>
      <c r="X45" s="81">
        <v>0</v>
      </c>
      <c r="Y45" s="81">
        <v>0</v>
      </c>
      <c r="Z45" s="81">
        <v>0</v>
      </c>
      <c r="AA45" s="81">
        <v>0</v>
      </c>
      <c r="AB45" s="81">
        <v>0</v>
      </c>
      <c r="AC45" s="81">
        <v>0</v>
      </c>
      <c r="AD45" s="81">
        <v>0</v>
      </c>
    </row>
    <row r="46" spans="1:30">
      <c r="A46" s="38" t="s">
        <v>112</v>
      </c>
      <c r="B46" s="179">
        <v>0</v>
      </c>
      <c r="C46" s="77">
        <v>0</v>
      </c>
      <c r="D46" s="77">
        <v>0</v>
      </c>
      <c r="E46" s="77">
        <v>0</v>
      </c>
      <c r="F46" s="77">
        <v>0</v>
      </c>
      <c r="G46" s="77">
        <v>0</v>
      </c>
      <c r="H46" s="77">
        <v>0</v>
      </c>
      <c r="I46" s="77">
        <v>0</v>
      </c>
      <c r="J46" s="77">
        <v>0</v>
      </c>
      <c r="K46" s="77">
        <v>0</v>
      </c>
      <c r="L46" s="77">
        <v>0</v>
      </c>
      <c r="M46" s="77">
        <v>0</v>
      </c>
      <c r="N46" s="77">
        <v>0</v>
      </c>
      <c r="O46" s="77">
        <v>0</v>
      </c>
      <c r="P46" s="81"/>
      <c r="Q46" s="287">
        <v>0</v>
      </c>
      <c r="R46" s="81">
        <v>0</v>
      </c>
      <c r="S46" s="81">
        <v>0</v>
      </c>
      <c r="T46" s="81">
        <v>0</v>
      </c>
      <c r="U46" s="81">
        <v>0</v>
      </c>
      <c r="V46" s="81">
        <v>0</v>
      </c>
      <c r="W46" s="81">
        <v>0</v>
      </c>
      <c r="X46" s="81">
        <v>0</v>
      </c>
      <c r="Y46" s="81">
        <v>0</v>
      </c>
      <c r="Z46" s="81">
        <v>0</v>
      </c>
      <c r="AA46" s="81">
        <v>0</v>
      </c>
      <c r="AB46" s="81">
        <v>0</v>
      </c>
      <c r="AC46" s="81">
        <v>0</v>
      </c>
      <c r="AD46" s="81">
        <v>0</v>
      </c>
    </row>
    <row r="47" spans="1:30">
      <c r="A47" s="38" t="s">
        <v>113</v>
      </c>
      <c r="B47" s="179">
        <v>0</v>
      </c>
      <c r="C47" s="77">
        <v>0</v>
      </c>
      <c r="D47" s="77">
        <v>0</v>
      </c>
      <c r="E47" s="77">
        <v>0</v>
      </c>
      <c r="F47" s="77">
        <v>0</v>
      </c>
      <c r="G47" s="77">
        <v>0</v>
      </c>
      <c r="H47" s="77">
        <v>0</v>
      </c>
      <c r="I47" s="77">
        <v>0</v>
      </c>
      <c r="J47" s="77">
        <v>0</v>
      </c>
      <c r="K47" s="77">
        <v>0</v>
      </c>
      <c r="L47" s="77">
        <v>0</v>
      </c>
      <c r="M47" s="77">
        <v>0</v>
      </c>
      <c r="N47" s="77">
        <v>0</v>
      </c>
      <c r="O47" s="77">
        <v>0</v>
      </c>
      <c r="P47" s="81"/>
      <c r="Q47" s="287">
        <v>0</v>
      </c>
      <c r="R47" s="81">
        <v>0</v>
      </c>
      <c r="S47" s="81">
        <v>0</v>
      </c>
      <c r="T47" s="81">
        <v>0</v>
      </c>
      <c r="U47" s="81">
        <v>0</v>
      </c>
      <c r="V47" s="81">
        <v>0</v>
      </c>
      <c r="W47" s="81">
        <v>0</v>
      </c>
      <c r="X47" s="81">
        <v>0</v>
      </c>
      <c r="Y47" s="81">
        <v>0</v>
      </c>
      <c r="Z47" s="81">
        <v>0</v>
      </c>
      <c r="AA47" s="81">
        <v>0</v>
      </c>
      <c r="AB47" s="81">
        <v>0</v>
      </c>
      <c r="AC47" s="81">
        <v>0</v>
      </c>
      <c r="AD47" s="81">
        <v>0</v>
      </c>
    </row>
    <row r="48" spans="1:30">
      <c r="A48" s="19" t="s">
        <v>114</v>
      </c>
      <c r="B48" s="289">
        <v>7.282</v>
      </c>
      <c r="C48" s="236">
        <v>6.6870000000000012</v>
      </c>
      <c r="D48" s="236">
        <v>12.015999999999998</v>
      </c>
      <c r="E48" s="236">
        <v>11.143999999999998</v>
      </c>
      <c r="F48" s="236">
        <v>9.328000000000003</v>
      </c>
      <c r="G48" s="236">
        <v>12.548000000000002</v>
      </c>
      <c r="H48" s="236">
        <v>11.948999999999998</v>
      </c>
      <c r="I48" s="236">
        <v>10.879999999999995</v>
      </c>
      <c r="J48" s="236">
        <v>8.718</v>
      </c>
      <c r="K48" s="236">
        <v>11.919</v>
      </c>
      <c r="L48" s="236">
        <v>7.782</v>
      </c>
      <c r="M48" s="236">
        <v>5.4839999999999964</v>
      </c>
      <c r="N48" s="236">
        <v>5.4710000000000036</v>
      </c>
      <c r="O48" s="236">
        <v>4.0879999999999992</v>
      </c>
      <c r="P48" s="83"/>
      <c r="Q48" s="288">
        <v>13.969000000000001</v>
      </c>
      <c r="R48" s="83">
        <v>6.6870000000000012</v>
      </c>
      <c r="S48" s="83">
        <v>45.036000000000001</v>
      </c>
      <c r="T48" s="83">
        <v>33.020000000000003</v>
      </c>
      <c r="U48" s="83">
        <v>21.876000000000005</v>
      </c>
      <c r="V48" s="83">
        <v>12.548000000000002</v>
      </c>
      <c r="W48" s="83">
        <v>43.465999999999994</v>
      </c>
      <c r="X48" s="83">
        <v>31.516999999999996</v>
      </c>
      <c r="Y48" s="83">
        <v>20.637</v>
      </c>
      <c r="Z48" s="83">
        <v>11.919</v>
      </c>
      <c r="AA48" s="83">
        <v>22.824999999999999</v>
      </c>
      <c r="AB48" s="83">
        <v>15.042999999999999</v>
      </c>
      <c r="AC48" s="83">
        <v>9.5590000000000028</v>
      </c>
      <c r="AD48" s="83">
        <v>4.0879999999999992</v>
      </c>
    </row>
    <row r="49" spans="1:30">
      <c r="A49" s="38" t="s">
        <v>55</v>
      </c>
      <c r="B49" s="179">
        <v>-0.91025</v>
      </c>
      <c r="C49" s="77">
        <v>-0.83587500000000015</v>
      </c>
      <c r="D49" s="77">
        <v>-0.67649999999999988</v>
      </c>
      <c r="E49" s="77">
        <v>-1.6715999999999998</v>
      </c>
      <c r="F49" s="77">
        <v>-1.3992000000000004</v>
      </c>
      <c r="G49" s="77">
        <v>-1.8822000000000001</v>
      </c>
      <c r="H49" s="77">
        <v>-1.4936249999999998</v>
      </c>
      <c r="I49" s="77">
        <v>-1.3599999999999994</v>
      </c>
      <c r="J49" s="77">
        <v>-1.08975</v>
      </c>
      <c r="K49" s="77">
        <v>-1.4898750000000001</v>
      </c>
      <c r="L49" s="77">
        <v>-0.97275</v>
      </c>
      <c r="M49" s="77">
        <v>-0.68549999999999955</v>
      </c>
      <c r="N49" s="77">
        <v>-0.68387500000000045</v>
      </c>
      <c r="O49" s="77">
        <v>-0.5109999999999999</v>
      </c>
      <c r="P49" s="81"/>
      <c r="Q49" s="287">
        <v>-1.7461250000000001</v>
      </c>
      <c r="R49" s="81">
        <v>-0.83587500000000015</v>
      </c>
      <c r="S49" s="81">
        <v>-5.6295000000000002</v>
      </c>
      <c r="T49" s="81">
        <v>-4.9530000000000003</v>
      </c>
      <c r="U49" s="81">
        <v>-3.2814000000000005</v>
      </c>
      <c r="V49" s="81">
        <v>-1.8822000000000001</v>
      </c>
      <c r="W49" s="81">
        <v>-5.4332499999999992</v>
      </c>
      <c r="X49" s="81">
        <v>-3.9396249999999995</v>
      </c>
      <c r="Y49" s="81">
        <v>-2.5796250000000001</v>
      </c>
      <c r="Z49" s="81">
        <v>-1.4898750000000001</v>
      </c>
      <c r="AA49" s="81">
        <v>-2.8531249999999999</v>
      </c>
      <c r="AB49" s="81">
        <v>-1.8803749999999999</v>
      </c>
      <c r="AC49" s="81">
        <v>-1.1948750000000004</v>
      </c>
      <c r="AD49" s="81">
        <v>-0.5109999999999999</v>
      </c>
    </row>
    <row r="50" spans="1:30">
      <c r="A50" s="38" t="s">
        <v>115</v>
      </c>
      <c r="B50" s="179">
        <v>0</v>
      </c>
      <c r="C50" s="77">
        <v>0</v>
      </c>
      <c r="D50" s="77">
        <v>0</v>
      </c>
      <c r="E50" s="77">
        <v>0</v>
      </c>
      <c r="F50" s="77">
        <v>0</v>
      </c>
      <c r="G50" s="77">
        <v>0</v>
      </c>
      <c r="H50" s="77">
        <v>0</v>
      </c>
      <c r="I50" s="77">
        <v>0</v>
      </c>
      <c r="J50" s="77">
        <v>0</v>
      </c>
      <c r="K50" s="77">
        <v>0</v>
      </c>
      <c r="L50" s="77">
        <v>0</v>
      </c>
      <c r="M50" s="77">
        <v>0</v>
      </c>
      <c r="N50" s="77">
        <v>0</v>
      </c>
      <c r="O50" s="77">
        <v>0</v>
      </c>
      <c r="P50" s="81"/>
      <c r="Q50" s="287">
        <v>0</v>
      </c>
      <c r="R50" s="81">
        <v>0</v>
      </c>
      <c r="S50" s="81">
        <v>0</v>
      </c>
      <c r="T50" s="81">
        <v>0</v>
      </c>
      <c r="U50" s="81">
        <v>0</v>
      </c>
      <c r="V50" s="81">
        <v>0</v>
      </c>
      <c r="W50" s="81">
        <v>0</v>
      </c>
      <c r="X50" s="81">
        <v>0</v>
      </c>
      <c r="Y50" s="81">
        <v>0</v>
      </c>
      <c r="Z50" s="81">
        <v>0</v>
      </c>
      <c r="AA50" s="81">
        <v>0</v>
      </c>
      <c r="AB50" s="81">
        <v>0</v>
      </c>
      <c r="AC50" s="81">
        <v>0</v>
      </c>
      <c r="AD50" s="81">
        <v>0</v>
      </c>
    </row>
    <row r="51" spans="1:30">
      <c r="A51" s="19" t="s">
        <v>116</v>
      </c>
      <c r="B51" s="289">
        <v>6.3717500000000005</v>
      </c>
      <c r="C51" s="236">
        <v>5.8511250000000015</v>
      </c>
      <c r="D51" s="236">
        <v>11.339499999999997</v>
      </c>
      <c r="E51" s="236">
        <v>9.4724000000000004</v>
      </c>
      <c r="F51" s="236">
        <v>7.9288000000000025</v>
      </c>
      <c r="G51" s="236">
        <v>10.665800000000001</v>
      </c>
      <c r="H51" s="236">
        <v>10.455374999999997</v>
      </c>
      <c r="I51" s="236">
        <v>9.519999999999996</v>
      </c>
      <c r="J51" s="236">
        <v>7.6282499999999995</v>
      </c>
      <c r="K51" s="236">
        <v>10.429125000000001</v>
      </c>
      <c r="L51" s="236">
        <v>6.8092500000000022</v>
      </c>
      <c r="M51" s="236">
        <v>4.7984999999999953</v>
      </c>
      <c r="N51" s="236">
        <v>4.7871250000000041</v>
      </c>
      <c r="O51" s="236">
        <v>3.5769999999999991</v>
      </c>
      <c r="P51" s="83"/>
      <c r="Q51" s="288">
        <v>12.222875000000002</v>
      </c>
      <c r="R51" s="83">
        <v>5.8511250000000015</v>
      </c>
      <c r="S51" s="83">
        <v>39.406500000000001</v>
      </c>
      <c r="T51" s="83">
        <v>28.067000000000004</v>
      </c>
      <c r="U51" s="83">
        <v>18.594600000000003</v>
      </c>
      <c r="V51" s="83">
        <v>10.665800000000001</v>
      </c>
      <c r="W51" s="83">
        <v>38.032749999999993</v>
      </c>
      <c r="X51" s="83">
        <v>27.577374999999996</v>
      </c>
      <c r="Y51" s="83">
        <v>18.057375</v>
      </c>
      <c r="Z51" s="83">
        <v>10.429125000000001</v>
      </c>
      <c r="AA51" s="83">
        <v>19.971875000000001</v>
      </c>
      <c r="AB51" s="83">
        <v>13.162624999999998</v>
      </c>
      <c r="AC51" s="83">
        <v>8.3641250000000031</v>
      </c>
      <c r="AD51" s="83">
        <v>3.5769999999999991</v>
      </c>
    </row>
    <row r="52" spans="1:30">
      <c r="A52" s="25"/>
      <c r="B52" s="25"/>
      <c r="C52" s="25"/>
      <c r="D52" s="25"/>
      <c r="E52" s="25"/>
      <c r="F52" s="25"/>
      <c r="G52" s="25"/>
      <c r="H52" s="25"/>
      <c r="I52" s="25"/>
      <c r="J52" s="25"/>
      <c r="K52" s="25"/>
      <c r="L52" s="25"/>
      <c r="M52" s="25"/>
      <c r="N52" s="25"/>
      <c r="O52" s="25"/>
      <c r="P52" s="82"/>
      <c r="Q52" s="82"/>
      <c r="R52" s="82"/>
      <c r="S52" s="82"/>
      <c r="T52" s="82"/>
      <c r="U52" s="82"/>
      <c r="V52" s="82"/>
      <c r="W52" s="82"/>
      <c r="X52" s="82"/>
      <c r="Y52" s="82"/>
      <c r="Z52" s="82"/>
      <c r="AA52" s="82"/>
      <c r="AB52" s="82"/>
      <c r="AC52" s="82"/>
      <c r="AD52" s="82"/>
    </row>
    <row r="53" spans="1:30">
      <c r="A53" s="19" t="s">
        <v>43</v>
      </c>
      <c r="B53" s="75" t="s">
        <v>629</v>
      </c>
      <c r="C53" s="75" t="s">
        <v>606</v>
      </c>
      <c r="D53" s="75" t="s">
        <v>593</v>
      </c>
      <c r="E53" s="75" t="s">
        <v>550</v>
      </c>
      <c r="F53" s="75" t="s">
        <v>524</v>
      </c>
      <c r="G53" s="75" t="s">
        <v>513</v>
      </c>
      <c r="H53" s="75" t="s">
        <v>502</v>
      </c>
      <c r="I53" s="75" t="s">
        <v>419</v>
      </c>
      <c r="J53" s="75" t="s">
        <v>401</v>
      </c>
      <c r="K53" s="75" t="s">
        <v>387</v>
      </c>
      <c r="L53" s="75" t="s">
        <v>476</v>
      </c>
      <c r="M53" s="75" t="s">
        <v>477</v>
      </c>
      <c r="N53" s="75" t="s">
        <v>478</v>
      </c>
      <c r="O53" s="75" t="s">
        <v>479</v>
      </c>
      <c r="P53" s="75"/>
      <c r="Q53" s="75" t="s">
        <v>630</v>
      </c>
      <c r="R53" s="75" t="s">
        <v>607</v>
      </c>
      <c r="S53" s="75" t="s">
        <v>594</v>
      </c>
      <c r="T53" s="75" t="s">
        <v>551</v>
      </c>
      <c r="U53" s="75" t="s">
        <v>525</v>
      </c>
      <c r="V53" s="75" t="s">
        <v>514</v>
      </c>
      <c r="W53" s="75" t="s">
        <v>503</v>
      </c>
      <c r="X53" s="75" t="s">
        <v>420</v>
      </c>
      <c r="Y53" s="75" t="s">
        <v>402</v>
      </c>
      <c r="Z53" s="75" t="s">
        <v>388</v>
      </c>
      <c r="AA53" s="75" t="s">
        <v>715</v>
      </c>
      <c r="AB53" s="75" t="s">
        <v>716</v>
      </c>
      <c r="AC53" s="75" t="s">
        <v>717</v>
      </c>
      <c r="AD53" s="75" t="s">
        <v>718</v>
      </c>
    </row>
    <row r="54" spans="1:30">
      <c r="A54" s="21" t="s">
        <v>688</v>
      </c>
      <c r="B54" s="21"/>
      <c r="C54" s="21"/>
      <c r="D54" s="21"/>
      <c r="E54" s="21"/>
      <c r="F54" s="21"/>
      <c r="G54" s="21"/>
      <c r="H54" s="21"/>
      <c r="I54" s="21"/>
      <c r="J54" s="21"/>
      <c r="K54" s="21"/>
      <c r="L54" s="21"/>
      <c r="M54" s="21"/>
      <c r="N54" s="21"/>
      <c r="O54" s="21"/>
      <c r="P54" s="85"/>
      <c r="Q54" s="85"/>
      <c r="R54" s="85"/>
      <c r="S54" s="85"/>
      <c r="T54" s="85"/>
      <c r="U54" s="85"/>
      <c r="V54" s="85"/>
      <c r="W54" s="85"/>
      <c r="X54" s="85"/>
      <c r="Y54" s="85"/>
      <c r="Z54" s="85"/>
      <c r="AA54" s="85"/>
      <c r="AB54" s="85"/>
      <c r="AC54" s="85"/>
      <c r="AD54" s="85"/>
    </row>
    <row r="55" spans="1:30">
      <c r="A55" s="38" t="s">
        <v>44</v>
      </c>
      <c r="B55" s="179">
        <v>33.398999999999994</v>
      </c>
      <c r="C55" s="77">
        <v>34.689</v>
      </c>
      <c r="D55" s="77">
        <v>37.343999999999994</v>
      </c>
      <c r="E55" s="77">
        <v>41.03</v>
      </c>
      <c r="F55" s="77">
        <v>40.734000000000002</v>
      </c>
      <c r="G55" s="77">
        <v>38.802</v>
      </c>
      <c r="H55" s="77">
        <v>43.195999999999984</v>
      </c>
      <c r="I55" s="77">
        <v>45.031999999999996</v>
      </c>
      <c r="J55" s="77">
        <v>36.865000000000009</v>
      </c>
      <c r="K55" s="77">
        <v>40.546999999999997</v>
      </c>
      <c r="L55" s="77">
        <v>21.622999999999998</v>
      </c>
      <c r="M55" s="77">
        <v>15.890999999999998</v>
      </c>
      <c r="N55" s="77">
        <v>14.475999999999999</v>
      </c>
      <c r="O55" s="77">
        <v>13.731999999999999</v>
      </c>
      <c r="P55" s="81"/>
      <c r="Q55" s="287">
        <v>68.087999999999994</v>
      </c>
      <c r="R55" s="81">
        <v>34.689</v>
      </c>
      <c r="S55" s="81">
        <v>157.91</v>
      </c>
      <c r="T55" s="81">
        <v>120.566</v>
      </c>
      <c r="U55" s="81">
        <v>79.536000000000001</v>
      </c>
      <c r="V55" s="81">
        <v>38.802</v>
      </c>
      <c r="W55" s="81">
        <v>165.64</v>
      </c>
      <c r="X55" s="81">
        <v>122.444</v>
      </c>
      <c r="Y55" s="81">
        <v>77.412000000000006</v>
      </c>
      <c r="Z55" s="81">
        <v>40.546999999999997</v>
      </c>
      <c r="AA55" s="81">
        <v>65.721999999999994</v>
      </c>
      <c r="AB55" s="81">
        <v>44.098999999999997</v>
      </c>
      <c r="AC55" s="81">
        <v>28.207999999999998</v>
      </c>
      <c r="AD55" s="81">
        <v>13.731999999999999</v>
      </c>
    </row>
    <row r="56" spans="1:30">
      <c r="A56" s="38" t="s">
        <v>109</v>
      </c>
      <c r="B56" s="179">
        <v>4.6920000000000002</v>
      </c>
      <c r="C56" s="77">
        <v>5.6539999999999999</v>
      </c>
      <c r="D56" s="77">
        <v>5.17</v>
      </c>
      <c r="E56" s="77">
        <v>4.7850000000000001</v>
      </c>
      <c r="F56" s="77">
        <v>5.3389999999999995</v>
      </c>
      <c r="G56" s="77">
        <v>4.9089999999999998</v>
      </c>
      <c r="H56" s="77">
        <v>4.7329999999999988</v>
      </c>
      <c r="I56" s="77">
        <v>4.722999999999999</v>
      </c>
      <c r="J56" s="77">
        <v>4.8670000000000009</v>
      </c>
      <c r="K56" s="77">
        <v>5.4749999999999996</v>
      </c>
      <c r="L56" s="77">
        <v>3.548</v>
      </c>
      <c r="M56" s="77">
        <v>4.0549999999999997</v>
      </c>
      <c r="N56" s="77">
        <v>3.9039999999999999</v>
      </c>
      <c r="O56" s="77">
        <v>3.84</v>
      </c>
      <c r="P56" s="81"/>
      <c r="Q56" s="287">
        <v>10.346</v>
      </c>
      <c r="R56" s="81">
        <v>5.6539999999999999</v>
      </c>
      <c r="S56" s="81">
        <v>20.202999999999999</v>
      </c>
      <c r="T56" s="81">
        <v>15.032999999999999</v>
      </c>
      <c r="U56" s="81">
        <v>10.247999999999999</v>
      </c>
      <c r="V56" s="81">
        <v>4.9089999999999998</v>
      </c>
      <c r="W56" s="81">
        <v>19.797999999999998</v>
      </c>
      <c r="X56" s="81">
        <v>15.065</v>
      </c>
      <c r="Y56" s="81">
        <v>10.342000000000001</v>
      </c>
      <c r="Z56" s="81">
        <v>5.4749999999999996</v>
      </c>
      <c r="AA56" s="81">
        <v>15.347</v>
      </c>
      <c r="AB56" s="81">
        <v>11.798999999999999</v>
      </c>
      <c r="AC56" s="81">
        <v>7.7439999999999998</v>
      </c>
      <c r="AD56" s="81">
        <v>3.84</v>
      </c>
    </row>
    <row r="57" spans="1:30">
      <c r="A57" s="38" t="s">
        <v>46</v>
      </c>
      <c r="B57" s="179">
        <v>0.44699999999999995</v>
      </c>
      <c r="C57" s="77">
        <v>0.372</v>
      </c>
      <c r="D57" s="77">
        <v>0.36499999999999999</v>
      </c>
      <c r="E57" s="77">
        <v>0.85399999999999998</v>
      </c>
      <c r="F57" s="77">
        <v>-0.159</v>
      </c>
      <c r="G57" s="77">
        <v>0.30499999999999999</v>
      </c>
      <c r="H57" s="77">
        <v>1.4409999999999998</v>
      </c>
      <c r="I57" s="77">
        <v>0.10799999999999998</v>
      </c>
      <c r="J57" s="77">
        <v>0.24199999999999999</v>
      </c>
      <c r="K57" s="77">
        <v>0.24299999999999999</v>
      </c>
      <c r="L57" s="77">
        <v>9.5000000000000029E-2</v>
      </c>
      <c r="M57" s="77">
        <v>0.15099999999999997</v>
      </c>
      <c r="N57" s="77">
        <v>0.15300000000000002</v>
      </c>
      <c r="O57" s="77">
        <v>0.12</v>
      </c>
      <c r="P57" s="81"/>
      <c r="Q57" s="287">
        <v>0.81899999999999995</v>
      </c>
      <c r="R57" s="81">
        <v>0.372</v>
      </c>
      <c r="S57" s="81">
        <v>1.365</v>
      </c>
      <c r="T57" s="81">
        <v>1</v>
      </c>
      <c r="U57" s="81">
        <v>0.14599999999999999</v>
      </c>
      <c r="V57" s="81">
        <v>0.30499999999999999</v>
      </c>
      <c r="W57" s="81">
        <v>2.0339999999999998</v>
      </c>
      <c r="X57" s="81">
        <v>0.59299999999999997</v>
      </c>
      <c r="Y57" s="81">
        <v>0.48499999999999999</v>
      </c>
      <c r="Z57" s="81">
        <v>0.24299999999999999</v>
      </c>
      <c r="AA57" s="81">
        <v>0.51900000000000002</v>
      </c>
      <c r="AB57" s="81">
        <v>0.42399999999999999</v>
      </c>
      <c r="AC57" s="81">
        <v>0.27300000000000002</v>
      </c>
      <c r="AD57" s="81">
        <v>0.12</v>
      </c>
    </row>
    <row r="58" spans="1:30">
      <c r="A58" s="19" t="s">
        <v>47</v>
      </c>
      <c r="B58" s="289">
        <v>38.537999999999997</v>
      </c>
      <c r="C58" s="236">
        <v>40.715000000000003</v>
      </c>
      <c r="D58" s="236">
        <v>42.879000000000019</v>
      </c>
      <c r="E58" s="236">
        <v>46.668999999999983</v>
      </c>
      <c r="F58" s="236">
        <v>45.914000000000009</v>
      </c>
      <c r="G58" s="236">
        <v>44.015999999999998</v>
      </c>
      <c r="H58" s="236">
        <v>49.369999999999976</v>
      </c>
      <c r="I58" s="236">
        <v>49.863</v>
      </c>
      <c r="J58" s="236">
        <v>41.974000000000004</v>
      </c>
      <c r="K58" s="236">
        <v>46.265000000000001</v>
      </c>
      <c r="L58" s="236">
        <v>25.265999999999998</v>
      </c>
      <c r="M58" s="236">
        <v>20.096999999999994</v>
      </c>
      <c r="N58" s="236">
        <v>18.533000000000001</v>
      </c>
      <c r="O58" s="236">
        <v>17.692</v>
      </c>
      <c r="P58" s="83"/>
      <c r="Q58" s="288">
        <v>79.253</v>
      </c>
      <c r="R58" s="83">
        <v>40.715000000000003</v>
      </c>
      <c r="S58" s="83">
        <v>179.47800000000001</v>
      </c>
      <c r="T58" s="83">
        <v>136.59899999999999</v>
      </c>
      <c r="U58" s="83">
        <v>89.93</v>
      </c>
      <c r="V58" s="83">
        <v>44.015999999999998</v>
      </c>
      <c r="W58" s="83">
        <v>187.47199999999998</v>
      </c>
      <c r="X58" s="83">
        <v>138.102</v>
      </c>
      <c r="Y58" s="83">
        <v>88.239000000000004</v>
      </c>
      <c r="Z58" s="83">
        <v>46.265000000000001</v>
      </c>
      <c r="AA58" s="83">
        <v>81.587999999999994</v>
      </c>
      <c r="AB58" s="83">
        <v>56.321999999999996</v>
      </c>
      <c r="AC58" s="83">
        <v>36.225000000000001</v>
      </c>
      <c r="AD58" s="83">
        <v>17.692</v>
      </c>
    </row>
    <row r="59" spans="1:30">
      <c r="A59" s="19" t="s">
        <v>50</v>
      </c>
      <c r="B59" s="289">
        <v>-10.475</v>
      </c>
      <c r="C59" s="236">
        <v>-10.500999999999999</v>
      </c>
      <c r="D59" s="236">
        <v>-11.350999999999999</v>
      </c>
      <c r="E59" s="236">
        <v>-11.662999999999997</v>
      </c>
      <c r="F59" s="236">
        <v>-10.722000000000001</v>
      </c>
      <c r="G59" s="236">
        <v>-11.073</v>
      </c>
      <c r="H59" s="236">
        <v>-12.535999999999994</v>
      </c>
      <c r="I59" s="236">
        <v>-11.344000000000005</v>
      </c>
      <c r="J59" s="236">
        <v>-12.03</v>
      </c>
      <c r="K59" s="236">
        <v>-11.843999999999999</v>
      </c>
      <c r="L59" s="236">
        <v>-7.6219999999999999</v>
      </c>
      <c r="M59" s="236">
        <v>-7.161999999999999</v>
      </c>
      <c r="N59" s="236">
        <v>-6.8560000000000008</v>
      </c>
      <c r="O59" s="236">
        <v>-6.7169999999999996</v>
      </c>
      <c r="P59" s="83"/>
      <c r="Q59" s="288">
        <v>-20.975999999999999</v>
      </c>
      <c r="R59" s="83">
        <v>-10.500999999999999</v>
      </c>
      <c r="S59" s="83">
        <v>-44.808999999999997</v>
      </c>
      <c r="T59" s="83">
        <v>-33.457999999999998</v>
      </c>
      <c r="U59" s="83">
        <v>-21.795000000000002</v>
      </c>
      <c r="V59" s="83">
        <v>-11.073</v>
      </c>
      <c r="W59" s="83">
        <v>-47.753999999999998</v>
      </c>
      <c r="X59" s="83">
        <v>-35.218000000000004</v>
      </c>
      <c r="Y59" s="83">
        <v>-23.873999999999999</v>
      </c>
      <c r="Z59" s="83">
        <v>-11.843999999999999</v>
      </c>
      <c r="AA59" s="83">
        <v>-28.356999999999999</v>
      </c>
      <c r="AB59" s="83">
        <v>-20.734999999999999</v>
      </c>
      <c r="AC59" s="83">
        <v>-13.573</v>
      </c>
      <c r="AD59" s="83">
        <v>-6.7169999999999996</v>
      </c>
    </row>
    <row r="60" spans="1:30">
      <c r="A60" s="19" t="s">
        <v>110</v>
      </c>
      <c r="B60" s="289">
        <v>28.062999999999995</v>
      </c>
      <c r="C60" s="236">
        <v>30.214000000000006</v>
      </c>
      <c r="D60" s="236">
        <v>31.52800000000002</v>
      </c>
      <c r="E60" s="236">
        <v>35.005999999999986</v>
      </c>
      <c r="F60" s="236">
        <v>35.192000000000007</v>
      </c>
      <c r="G60" s="236">
        <v>32.942999999999998</v>
      </c>
      <c r="H60" s="236">
        <v>36.833999999999989</v>
      </c>
      <c r="I60" s="236">
        <v>38.518999999999991</v>
      </c>
      <c r="J60" s="236">
        <v>29.94400000000001</v>
      </c>
      <c r="K60" s="236">
        <v>34.420999999999999</v>
      </c>
      <c r="L60" s="236">
        <v>17.643999999999998</v>
      </c>
      <c r="M60" s="236">
        <v>12.934999999999995</v>
      </c>
      <c r="N60" s="236">
        <v>11.677</v>
      </c>
      <c r="O60" s="236">
        <v>10.975000000000001</v>
      </c>
      <c r="P60" s="83"/>
      <c r="Q60" s="288">
        <v>58.277000000000001</v>
      </c>
      <c r="R60" s="83">
        <v>30.214000000000006</v>
      </c>
      <c r="S60" s="83">
        <v>134.66900000000001</v>
      </c>
      <c r="T60" s="83">
        <v>103.14099999999999</v>
      </c>
      <c r="U60" s="83">
        <v>68.135000000000005</v>
      </c>
      <c r="V60" s="83">
        <v>32.942999999999998</v>
      </c>
      <c r="W60" s="83">
        <v>139.71799999999999</v>
      </c>
      <c r="X60" s="83">
        <v>102.884</v>
      </c>
      <c r="Y60" s="83">
        <v>64.365000000000009</v>
      </c>
      <c r="Z60" s="83">
        <v>34.420999999999999</v>
      </c>
      <c r="AA60" s="83">
        <v>53.230999999999995</v>
      </c>
      <c r="AB60" s="83">
        <v>35.586999999999996</v>
      </c>
      <c r="AC60" s="83">
        <v>22.652000000000001</v>
      </c>
      <c r="AD60" s="83">
        <v>10.975000000000001</v>
      </c>
    </row>
    <row r="61" spans="1:30" ht="27.75" customHeight="1">
      <c r="A61" s="79" t="s">
        <v>459</v>
      </c>
      <c r="B61" s="179">
        <v>-2.1160000000000001</v>
      </c>
      <c r="C61" s="77">
        <v>0.39100000000000001</v>
      </c>
      <c r="D61" s="77">
        <v>7.5999999999999623E-2</v>
      </c>
      <c r="E61" s="77">
        <v>-5.8900000000000006</v>
      </c>
      <c r="F61" s="77">
        <v>3.9800000000000004</v>
      </c>
      <c r="G61" s="77">
        <v>5.1020000000000003</v>
      </c>
      <c r="H61" s="77">
        <v>-13.794999999999998</v>
      </c>
      <c r="I61" s="77">
        <v>-15.992000000000001</v>
      </c>
      <c r="J61" s="77">
        <v>-7.76</v>
      </c>
      <c r="K61" s="77">
        <v>7.7949999999999999</v>
      </c>
      <c r="L61" s="77">
        <v>-5.3389999999999995</v>
      </c>
      <c r="M61" s="77">
        <v>5.8049999999999997</v>
      </c>
      <c r="N61" s="77">
        <v>-1.631</v>
      </c>
      <c r="O61" s="77">
        <v>0.79600000000000004</v>
      </c>
      <c r="P61" s="81"/>
      <c r="Q61" s="287">
        <v>-1.7250000000000001</v>
      </c>
      <c r="R61" s="81">
        <v>0.39100000000000001</v>
      </c>
      <c r="S61" s="81">
        <v>3.2679999999999998</v>
      </c>
      <c r="T61" s="81">
        <v>3.1920000000000002</v>
      </c>
      <c r="U61" s="81">
        <v>9.0820000000000007</v>
      </c>
      <c r="V61" s="81">
        <v>5.1020000000000003</v>
      </c>
      <c r="W61" s="81">
        <v>-29.751999999999999</v>
      </c>
      <c r="X61" s="81">
        <v>-15.957000000000001</v>
      </c>
      <c r="Y61" s="81">
        <v>3.5000000000000003E-2</v>
      </c>
      <c r="Z61" s="81">
        <v>7.7949999999999999</v>
      </c>
      <c r="AA61" s="81">
        <v>-0.36899999999999999</v>
      </c>
      <c r="AB61" s="81">
        <v>4.97</v>
      </c>
      <c r="AC61" s="81">
        <v>-0.83499999999999996</v>
      </c>
      <c r="AD61" s="81">
        <v>0.79600000000000004</v>
      </c>
    </row>
    <row r="62" spans="1:30">
      <c r="A62" s="38" t="s">
        <v>111</v>
      </c>
      <c r="B62" s="179">
        <v>0</v>
      </c>
      <c r="C62" s="77">
        <v>0</v>
      </c>
      <c r="D62" s="77">
        <v>0</v>
      </c>
      <c r="E62" s="77">
        <v>0</v>
      </c>
      <c r="F62" s="77">
        <v>0</v>
      </c>
      <c r="G62" s="77">
        <v>0</v>
      </c>
      <c r="H62" s="77">
        <v>0</v>
      </c>
      <c r="I62" s="77">
        <v>0</v>
      </c>
      <c r="J62" s="77">
        <v>0</v>
      </c>
      <c r="K62" s="77">
        <v>0</v>
      </c>
      <c r="L62" s="77">
        <v>0</v>
      </c>
      <c r="M62" s="77">
        <v>0</v>
      </c>
      <c r="N62" s="77">
        <v>0</v>
      </c>
      <c r="O62" s="77">
        <v>0</v>
      </c>
      <c r="P62" s="81"/>
      <c r="Q62" s="287">
        <v>0</v>
      </c>
      <c r="R62" s="81">
        <v>0</v>
      </c>
      <c r="S62" s="81">
        <v>0</v>
      </c>
      <c r="T62" s="81">
        <v>0</v>
      </c>
      <c r="U62" s="81">
        <v>0</v>
      </c>
      <c r="V62" s="81">
        <v>0</v>
      </c>
      <c r="W62" s="81">
        <v>0</v>
      </c>
      <c r="X62" s="81">
        <v>0</v>
      </c>
      <c r="Y62" s="81">
        <v>0</v>
      </c>
      <c r="Z62" s="81">
        <v>0</v>
      </c>
      <c r="AA62" s="81">
        <v>0</v>
      </c>
      <c r="AB62" s="81">
        <v>0</v>
      </c>
      <c r="AC62" s="81">
        <v>0</v>
      </c>
      <c r="AD62" s="81">
        <v>0</v>
      </c>
    </row>
    <row r="63" spans="1:30">
      <c r="A63" s="38" t="s">
        <v>112</v>
      </c>
      <c r="B63" s="179">
        <v>0</v>
      </c>
      <c r="C63" s="77">
        <v>0</v>
      </c>
      <c r="D63" s="77">
        <v>0</v>
      </c>
      <c r="E63" s="77">
        <v>0</v>
      </c>
      <c r="F63" s="77">
        <v>0</v>
      </c>
      <c r="G63" s="77">
        <v>0</v>
      </c>
      <c r="H63" s="77">
        <v>0</v>
      </c>
      <c r="I63" s="77">
        <v>0</v>
      </c>
      <c r="J63" s="77">
        <v>0</v>
      </c>
      <c r="K63" s="77">
        <v>0</v>
      </c>
      <c r="L63" s="77">
        <v>0</v>
      </c>
      <c r="M63" s="77">
        <v>0</v>
      </c>
      <c r="N63" s="77">
        <v>0</v>
      </c>
      <c r="O63" s="77">
        <v>0</v>
      </c>
      <c r="P63" s="81"/>
      <c r="Q63" s="287">
        <v>0</v>
      </c>
      <c r="R63" s="81">
        <v>0</v>
      </c>
      <c r="S63" s="81">
        <v>0</v>
      </c>
      <c r="T63" s="81">
        <v>0</v>
      </c>
      <c r="U63" s="81">
        <v>0</v>
      </c>
      <c r="V63" s="81">
        <v>0</v>
      </c>
      <c r="W63" s="81">
        <v>0</v>
      </c>
      <c r="X63" s="81">
        <v>0</v>
      </c>
      <c r="Y63" s="81">
        <v>0</v>
      </c>
      <c r="Z63" s="81">
        <v>0</v>
      </c>
      <c r="AA63" s="81">
        <v>0</v>
      </c>
      <c r="AB63" s="81">
        <v>0</v>
      </c>
      <c r="AC63" s="81">
        <v>0</v>
      </c>
      <c r="AD63" s="81">
        <v>0</v>
      </c>
    </row>
    <row r="64" spans="1:30">
      <c r="A64" s="38" t="s">
        <v>113</v>
      </c>
      <c r="B64" s="179">
        <v>0</v>
      </c>
      <c r="C64" s="77">
        <v>0</v>
      </c>
      <c r="D64" s="77">
        <v>0</v>
      </c>
      <c r="E64" s="77">
        <v>0</v>
      </c>
      <c r="F64" s="77">
        <v>0</v>
      </c>
      <c r="G64" s="77">
        <v>0</v>
      </c>
      <c r="H64" s="77">
        <v>0</v>
      </c>
      <c r="I64" s="77">
        <v>0</v>
      </c>
      <c r="J64" s="77">
        <v>0</v>
      </c>
      <c r="K64" s="77">
        <v>0</v>
      </c>
      <c r="L64" s="77">
        <v>0</v>
      </c>
      <c r="M64" s="77">
        <v>0</v>
      </c>
      <c r="N64" s="77">
        <v>0</v>
      </c>
      <c r="O64" s="77">
        <v>0</v>
      </c>
      <c r="P64" s="81"/>
      <c r="Q64" s="287">
        <v>0</v>
      </c>
      <c r="R64" s="81">
        <v>0</v>
      </c>
      <c r="S64" s="81">
        <v>0</v>
      </c>
      <c r="T64" s="81">
        <v>0</v>
      </c>
      <c r="U64" s="81">
        <v>0</v>
      </c>
      <c r="V64" s="81">
        <v>0</v>
      </c>
      <c r="W64" s="81">
        <v>0</v>
      </c>
      <c r="X64" s="81">
        <v>0</v>
      </c>
      <c r="Y64" s="81">
        <v>0</v>
      </c>
      <c r="Z64" s="81">
        <v>0</v>
      </c>
      <c r="AA64" s="81">
        <v>0</v>
      </c>
      <c r="AB64" s="81">
        <v>0</v>
      </c>
      <c r="AC64" s="81">
        <v>0</v>
      </c>
      <c r="AD64" s="81">
        <v>0</v>
      </c>
    </row>
    <row r="65" spans="1:30">
      <c r="A65" s="19" t="s">
        <v>114</v>
      </c>
      <c r="B65" s="289">
        <v>25.946999999999996</v>
      </c>
      <c r="C65" s="236">
        <v>30.605000000000004</v>
      </c>
      <c r="D65" s="236">
        <v>31.604000000000013</v>
      </c>
      <c r="E65" s="236">
        <v>29.115999999999985</v>
      </c>
      <c r="F65" s="236">
        <v>39.172000000000011</v>
      </c>
      <c r="G65" s="236">
        <v>38.045000000000002</v>
      </c>
      <c r="H65" s="236">
        <v>23.039000000000001</v>
      </c>
      <c r="I65" s="236">
        <v>22.526999999999987</v>
      </c>
      <c r="J65" s="236">
        <v>22.184000000000005</v>
      </c>
      <c r="K65" s="236">
        <v>42.216000000000001</v>
      </c>
      <c r="L65" s="236">
        <v>12.305</v>
      </c>
      <c r="M65" s="236">
        <v>18.739999999999995</v>
      </c>
      <c r="N65" s="236">
        <v>10.045999999999999</v>
      </c>
      <c r="O65" s="236">
        <v>11.771000000000001</v>
      </c>
      <c r="P65" s="83"/>
      <c r="Q65" s="288">
        <v>56.552</v>
      </c>
      <c r="R65" s="83">
        <v>30.605000000000004</v>
      </c>
      <c r="S65" s="83">
        <v>137.93700000000001</v>
      </c>
      <c r="T65" s="83">
        <v>106.333</v>
      </c>
      <c r="U65" s="83">
        <v>77.217000000000013</v>
      </c>
      <c r="V65" s="83">
        <v>38.045000000000002</v>
      </c>
      <c r="W65" s="83">
        <v>109.96599999999999</v>
      </c>
      <c r="X65" s="83">
        <v>86.926999999999992</v>
      </c>
      <c r="Y65" s="83">
        <v>64.400000000000006</v>
      </c>
      <c r="Z65" s="83">
        <v>42.216000000000001</v>
      </c>
      <c r="AA65" s="83">
        <v>52.861999999999995</v>
      </c>
      <c r="AB65" s="83">
        <v>40.556999999999995</v>
      </c>
      <c r="AC65" s="83">
        <v>21.817</v>
      </c>
      <c r="AD65" s="83">
        <v>11.771000000000001</v>
      </c>
    </row>
    <row r="66" spans="1:30">
      <c r="A66" s="38" t="s">
        <v>55</v>
      </c>
      <c r="B66" s="179">
        <v>-3.2433749999999995</v>
      </c>
      <c r="C66" s="77">
        <v>-3.8256250000000005</v>
      </c>
      <c r="D66" s="77">
        <v>-1.2921750000000021</v>
      </c>
      <c r="E66" s="77">
        <v>-4.3673999999999982</v>
      </c>
      <c r="F66" s="77">
        <v>-5.8758000000000008</v>
      </c>
      <c r="G66" s="77">
        <v>-5.7067500000000004</v>
      </c>
      <c r="H66" s="77">
        <v>-2.8798750000000002</v>
      </c>
      <c r="I66" s="77">
        <v>-2.8158749999999984</v>
      </c>
      <c r="J66" s="77">
        <v>-2.7730000000000006</v>
      </c>
      <c r="K66" s="77">
        <v>-5.2770000000000001</v>
      </c>
      <c r="L66" s="77">
        <v>-1.538125</v>
      </c>
      <c r="M66" s="77">
        <v>-2.3424999999999994</v>
      </c>
      <c r="N66" s="77">
        <v>-1.2557499999999999</v>
      </c>
      <c r="O66" s="77">
        <v>-1.4713750000000001</v>
      </c>
      <c r="P66" s="81"/>
      <c r="Q66" s="287">
        <v>-7.069</v>
      </c>
      <c r="R66" s="81">
        <v>-3.8256250000000005</v>
      </c>
      <c r="S66" s="81">
        <v>-17.242125000000001</v>
      </c>
      <c r="T66" s="81">
        <v>-15.949949999999999</v>
      </c>
      <c r="U66" s="81">
        <v>-11.582550000000001</v>
      </c>
      <c r="V66" s="81">
        <v>-5.7067500000000004</v>
      </c>
      <c r="W66" s="81">
        <v>-13.745749999999999</v>
      </c>
      <c r="X66" s="81">
        <v>-10.865874999999999</v>
      </c>
      <c r="Y66" s="81">
        <v>-8.0500000000000007</v>
      </c>
      <c r="Z66" s="81">
        <v>-5.2770000000000001</v>
      </c>
      <c r="AA66" s="81">
        <v>-6.6077499999999993</v>
      </c>
      <c r="AB66" s="81">
        <v>-5.0696249999999994</v>
      </c>
      <c r="AC66" s="81">
        <v>-2.727125</v>
      </c>
      <c r="AD66" s="81">
        <v>-1.4713750000000001</v>
      </c>
    </row>
    <row r="67" spans="1:30">
      <c r="A67" s="38" t="s">
        <v>115</v>
      </c>
      <c r="B67" s="179">
        <v>0</v>
      </c>
      <c r="C67" s="77">
        <v>0</v>
      </c>
      <c r="D67" s="77">
        <v>0</v>
      </c>
      <c r="E67" s="77">
        <v>0</v>
      </c>
      <c r="F67" s="77">
        <v>0</v>
      </c>
      <c r="G67" s="77">
        <v>0</v>
      </c>
      <c r="H67" s="77">
        <v>0</v>
      </c>
      <c r="I67" s="77">
        <v>0</v>
      </c>
      <c r="J67" s="77">
        <v>0</v>
      </c>
      <c r="K67" s="77">
        <v>0</v>
      </c>
      <c r="L67" s="77">
        <v>0</v>
      </c>
      <c r="M67" s="77">
        <v>0</v>
      </c>
      <c r="N67" s="77">
        <v>0</v>
      </c>
      <c r="O67" s="77">
        <v>0</v>
      </c>
      <c r="P67" s="81"/>
      <c r="Q67" s="287">
        <v>0</v>
      </c>
      <c r="R67" s="81">
        <v>0</v>
      </c>
      <c r="S67" s="81">
        <v>0</v>
      </c>
      <c r="T67" s="81">
        <v>0</v>
      </c>
      <c r="U67" s="81">
        <v>0</v>
      </c>
      <c r="V67" s="81">
        <v>0</v>
      </c>
      <c r="W67" s="81">
        <v>0</v>
      </c>
      <c r="X67" s="81">
        <v>0</v>
      </c>
      <c r="Y67" s="81">
        <v>0</v>
      </c>
      <c r="Z67" s="81">
        <v>0</v>
      </c>
      <c r="AA67" s="81">
        <v>0</v>
      </c>
      <c r="AB67" s="81">
        <v>0</v>
      </c>
      <c r="AC67" s="81">
        <v>0</v>
      </c>
      <c r="AD67" s="81">
        <v>0</v>
      </c>
    </row>
    <row r="68" spans="1:30">
      <c r="A68" s="19" t="s">
        <v>116</v>
      </c>
      <c r="B68" s="289">
        <v>22.703624999999995</v>
      </c>
      <c r="C68" s="236">
        <v>26.779375000000002</v>
      </c>
      <c r="D68" s="236">
        <v>30.311825000000013</v>
      </c>
      <c r="E68" s="236">
        <v>24.748599999999982</v>
      </c>
      <c r="F68" s="236">
        <v>33.296200000000013</v>
      </c>
      <c r="G68" s="236">
        <v>32.338250000000002</v>
      </c>
      <c r="H68" s="236">
        <v>20.159125000000003</v>
      </c>
      <c r="I68" s="236">
        <v>19.711124999999981</v>
      </c>
      <c r="J68" s="236">
        <v>19.411000000000008</v>
      </c>
      <c r="K68" s="236">
        <v>36.939</v>
      </c>
      <c r="L68" s="236">
        <v>10.766875000000006</v>
      </c>
      <c r="M68" s="236">
        <v>16.397499999999994</v>
      </c>
      <c r="N68" s="236">
        <v>8.7902499999999986</v>
      </c>
      <c r="O68" s="236">
        <v>10.299625000000001</v>
      </c>
      <c r="P68" s="83"/>
      <c r="Q68" s="288">
        <v>49.482999999999997</v>
      </c>
      <c r="R68" s="83">
        <v>26.779375000000002</v>
      </c>
      <c r="S68" s="83">
        <v>120.69487500000001</v>
      </c>
      <c r="T68" s="83">
        <v>90.383049999999997</v>
      </c>
      <c r="U68" s="83">
        <v>65.634450000000015</v>
      </c>
      <c r="V68" s="83">
        <v>32.338250000000002</v>
      </c>
      <c r="W68" s="83">
        <v>96.220249999999993</v>
      </c>
      <c r="X68" s="83">
        <v>76.06112499999999</v>
      </c>
      <c r="Y68" s="83">
        <v>56.350000000000009</v>
      </c>
      <c r="Z68" s="83">
        <v>36.939</v>
      </c>
      <c r="AA68" s="83">
        <v>46.254249999999999</v>
      </c>
      <c r="AB68" s="83">
        <v>35.487374999999993</v>
      </c>
      <c r="AC68" s="83">
        <v>19.089874999999999</v>
      </c>
      <c r="AD68" s="83">
        <v>10.299625000000001</v>
      </c>
    </row>
    <row r="69" spans="1:30">
      <c r="A69" s="25"/>
      <c r="B69" s="25"/>
      <c r="C69" s="25"/>
      <c r="D69" s="25"/>
      <c r="E69" s="25"/>
      <c r="F69" s="25"/>
      <c r="G69" s="25"/>
      <c r="H69" s="25"/>
      <c r="I69" s="25"/>
      <c r="J69" s="25"/>
      <c r="K69" s="25"/>
      <c r="L69" s="25"/>
      <c r="M69" s="25"/>
      <c r="N69" s="25"/>
      <c r="O69" s="25"/>
      <c r="P69" s="82"/>
      <c r="Q69" s="82"/>
      <c r="R69" s="82"/>
      <c r="S69" s="82"/>
      <c r="T69" s="82"/>
      <c r="U69" s="82"/>
      <c r="V69" s="82"/>
      <c r="W69" s="82"/>
      <c r="X69" s="82"/>
      <c r="Y69" s="82"/>
      <c r="Z69" s="82"/>
      <c r="AA69" s="82"/>
      <c r="AB69" s="82"/>
      <c r="AC69" s="82"/>
      <c r="AD69" s="82"/>
    </row>
    <row r="70" spans="1:30">
      <c r="A70" s="19" t="s">
        <v>43</v>
      </c>
      <c r="B70" s="75" t="s">
        <v>629</v>
      </c>
      <c r="C70" s="75" t="s">
        <v>606</v>
      </c>
      <c r="D70" s="75" t="s">
        <v>593</v>
      </c>
      <c r="E70" s="75" t="s">
        <v>550</v>
      </c>
      <c r="F70" s="75" t="s">
        <v>524</v>
      </c>
      <c r="G70" s="75" t="s">
        <v>513</v>
      </c>
      <c r="H70" s="75" t="s">
        <v>502</v>
      </c>
      <c r="I70" s="75" t="s">
        <v>419</v>
      </c>
      <c r="J70" s="75" t="s">
        <v>401</v>
      </c>
      <c r="K70" s="75" t="s">
        <v>387</v>
      </c>
      <c r="L70" s="75" t="s">
        <v>476</v>
      </c>
      <c r="M70" s="75" t="s">
        <v>477</v>
      </c>
      <c r="N70" s="75" t="s">
        <v>478</v>
      </c>
      <c r="O70" s="75" t="s">
        <v>479</v>
      </c>
      <c r="P70" s="75"/>
      <c r="Q70" s="75" t="s">
        <v>630</v>
      </c>
      <c r="R70" s="75" t="s">
        <v>607</v>
      </c>
      <c r="S70" s="75" t="s">
        <v>594</v>
      </c>
      <c r="T70" s="75" t="s">
        <v>551</v>
      </c>
      <c r="U70" s="75" t="s">
        <v>525</v>
      </c>
      <c r="V70" s="75" t="s">
        <v>514</v>
      </c>
      <c r="W70" s="75" t="s">
        <v>503</v>
      </c>
      <c r="X70" s="75" t="s">
        <v>420</v>
      </c>
      <c r="Y70" s="75" t="s">
        <v>402</v>
      </c>
      <c r="Z70" s="75" t="s">
        <v>388</v>
      </c>
      <c r="AA70" s="75" t="s">
        <v>715</v>
      </c>
      <c r="AB70" s="75" t="s">
        <v>716</v>
      </c>
      <c r="AC70" s="75" t="s">
        <v>717</v>
      </c>
      <c r="AD70" s="75" t="s">
        <v>718</v>
      </c>
    </row>
    <row r="71" spans="1:30">
      <c r="A71" s="21" t="s">
        <v>681</v>
      </c>
      <c r="B71" s="21"/>
      <c r="C71" s="21"/>
      <c r="D71" s="21"/>
      <c r="E71" s="21"/>
      <c r="F71" s="21"/>
      <c r="G71" s="21"/>
      <c r="H71" s="21"/>
      <c r="I71" s="21"/>
      <c r="J71" s="21"/>
      <c r="K71" s="21"/>
      <c r="L71" s="21"/>
      <c r="M71" s="21"/>
      <c r="N71" s="21"/>
      <c r="O71" s="21"/>
      <c r="P71" s="85"/>
      <c r="Q71" s="85"/>
      <c r="R71" s="85"/>
      <c r="S71" s="85"/>
      <c r="T71" s="85"/>
      <c r="U71" s="85"/>
      <c r="V71" s="85"/>
      <c r="W71" s="85"/>
      <c r="X71" s="85"/>
      <c r="Y71" s="85"/>
      <c r="Z71" s="85"/>
      <c r="AA71" s="85"/>
      <c r="AB71" s="85"/>
      <c r="AC71" s="85"/>
      <c r="AD71" s="85"/>
    </row>
    <row r="72" spans="1:30">
      <c r="A72" s="38" t="s">
        <v>44</v>
      </c>
      <c r="B72" s="179">
        <v>0</v>
      </c>
      <c r="C72" s="77">
        <v>0</v>
      </c>
      <c r="D72" s="77">
        <v>0</v>
      </c>
      <c r="E72" s="77">
        <v>0</v>
      </c>
      <c r="F72" s="77">
        <v>0</v>
      </c>
      <c r="G72" s="77">
        <v>0</v>
      </c>
      <c r="H72" s="77">
        <v>0</v>
      </c>
      <c r="I72" s="77">
        <v>0</v>
      </c>
      <c r="J72" s="77">
        <v>0</v>
      </c>
      <c r="K72" s="77">
        <v>0</v>
      </c>
      <c r="L72" s="77">
        <v>5.3999999999994941E-2</v>
      </c>
      <c r="M72" s="77">
        <v>17.366000000000003</v>
      </c>
      <c r="N72" s="77">
        <v>16.044999999999998</v>
      </c>
      <c r="O72" s="77">
        <v>14.948</v>
      </c>
      <c r="P72" s="81"/>
      <c r="Q72" s="287">
        <v>0</v>
      </c>
      <c r="R72" s="81">
        <v>0</v>
      </c>
      <c r="S72" s="81">
        <v>0</v>
      </c>
      <c r="T72" s="81">
        <v>0</v>
      </c>
      <c r="U72" s="81">
        <v>0</v>
      </c>
      <c r="V72" s="81">
        <v>0</v>
      </c>
      <c r="W72" s="81">
        <v>0</v>
      </c>
      <c r="X72" s="81">
        <v>0</v>
      </c>
      <c r="Y72" s="81">
        <v>0</v>
      </c>
      <c r="Z72" s="81">
        <v>0</v>
      </c>
      <c r="AA72" s="81">
        <v>48.412999999999997</v>
      </c>
      <c r="AB72" s="81">
        <v>48.359000000000002</v>
      </c>
      <c r="AC72" s="81">
        <v>30.992999999999999</v>
      </c>
      <c r="AD72" s="81">
        <v>14.948</v>
      </c>
    </row>
    <row r="73" spans="1:30">
      <c r="A73" s="38" t="s">
        <v>109</v>
      </c>
      <c r="B73" s="179">
        <v>0</v>
      </c>
      <c r="C73" s="77">
        <v>0</v>
      </c>
      <c r="D73" s="77">
        <v>0</v>
      </c>
      <c r="E73" s="77">
        <v>0</v>
      </c>
      <c r="F73" s="77">
        <v>0</v>
      </c>
      <c r="G73" s="77">
        <v>0</v>
      </c>
      <c r="H73" s="77">
        <v>0</v>
      </c>
      <c r="I73" s="77">
        <v>0</v>
      </c>
      <c r="J73" s="77">
        <v>0</v>
      </c>
      <c r="K73" s="77">
        <v>0</v>
      </c>
      <c r="L73" s="77">
        <v>0.88999999999999968</v>
      </c>
      <c r="M73" s="77">
        <v>1.9489999999999998</v>
      </c>
      <c r="N73" s="77">
        <v>2.133</v>
      </c>
      <c r="O73" s="77">
        <v>2.0510000000000002</v>
      </c>
      <c r="P73" s="81"/>
      <c r="Q73" s="287">
        <v>0</v>
      </c>
      <c r="R73" s="81">
        <v>0</v>
      </c>
      <c r="S73" s="81">
        <v>0</v>
      </c>
      <c r="T73" s="81">
        <v>0</v>
      </c>
      <c r="U73" s="81">
        <v>0</v>
      </c>
      <c r="V73" s="81">
        <v>0</v>
      </c>
      <c r="W73" s="81">
        <v>0</v>
      </c>
      <c r="X73" s="81">
        <v>0</v>
      </c>
      <c r="Y73" s="81">
        <v>0</v>
      </c>
      <c r="Z73" s="81">
        <v>0</v>
      </c>
      <c r="AA73" s="81">
        <v>7.0229999999999997</v>
      </c>
      <c r="AB73" s="81">
        <v>6.133</v>
      </c>
      <c r="AC73" s="81">
        <v>4.1840000000000002</v>
      </c>
      <c r="AD73" s="81">
        <v>2.0510000000000002</v>
      </c>
    </row>
    <row r="74" spans="1:30">
      <c r="A74" s="38" t="s">
        <v>46</v>
      </c>
      <c r="B74" s="179">
        <v>0</v>
      </c>
      <c r="C74" s="77">
        <v>0</v>
      </c>
      <c r="D74" s="77">
        <v>0</v>
      </c>
      <c r="E74" s="77">
        <v>0</v>
      </c>
      <c r="F74" s="77">
        <v>0</v>
      </c>
      <c r="G74" s="77">
        <v>0</v>
      </c>
      <c r="H74" s="77">
        <v>0</v>
      </c>
      <c r="I74" s="77">
        <v>0</v>
      </c>
      <c r="J74" s="77">
        <v>0</v>
      </c>
      <c r="K74" s="77">
        <v>0</v>
      </c>
      <c r="L74" s="77">
        <v>7.1000000000000008E-2</v>
      </c>
      <c r="M74" s="77">
        <v>0.11300000000000002</v>
      </c>
      <c r="N74" s="77">
        <v>0.13600000000000001</v>
      </c>
      <c r="O74" s="77">
        <v>8.2000000000000003E-2</v>
      </c>
      <c r="P74" s="81"/>
      <c r="Q74" s="287">
        <v>0</v>
      </c>
      <c r="R74" s="81">
        <v>0</v>
      </c>
      <c r="S74" s="81">
        <v>0</v>
      </c>
      <c r="T74" s="81">
        <v>0</v>
      </c>
      <c r="U74" s="81">
        <v>0</v>
      </c>
      <c r="V74" s="81">
        <v>0</v>
      </c>
      <c r="W74" s="81">
        <v>0</v>
      </c>
      <c r="X74" s="81">
        <v>0</v>
      </c>
      <c r="Y74" s="81">
        <v>0</v>
      </c>
      <c r="Z74" s="81">
        <v>0</v>
      </c>
      <c r="AA74" s="81">
        <v>0.40200000000000002</v>
      </c>
      <c r="AB74" s="81">
        <v>0.33100000000000002</v>
      </c>
      <c r="AC74" s="81">
        <v>0.218</v>
      </c>
      <c r="AD74" s="81">
        <v>8.2000000000000003E-2</v>
      </c>
    </row>
    <row r="75" spans="1:30">
      <c r="A75" s="19" t="s">
        <v>47</v>
      </c>
      <c r="B75" s="289">
        <v>0</v>
      </c>
      <c r="C75" s="236">
        <v>0</v>
      </c>
      <c r="D75" s="236">
        <v>0</v>
      </c>
      <c r="E75" s="236">
        <v>0</v>
      </c>
      <c r="F75" s="236">
        <v>0</v>
      </c>
      <c r="G75" s="236">
        <v>0</v>
      </c>
      <c r="H75" s="236">
        <v>0</v>
      </c>
      <c r="I75" s="236">
        <v>0</v>
      </c>
      <c r="J75" s="236">
        <v>0</v>
      </c>
      <c r="K75" s="236">
        <v>0</v>
      </c>
      <c r="L75" s="236">
        <v>1.0149999999999864</v>
      </c>
      <c r="M75" s="236">
        <v>19.428000000000004</v>
      </c>
      <c r="N75" s="236">
        <v>18.314</v>
      </c>
      <c r="O75" s="236">
        <v>17.081000000000003</v>
      </c>
      <c r="P75" s="83"/>
      <c r="Q75" s="288">
        <v>0</v>
      </c>
      <c r="R75" s="83">
        <v>0</v>
      </c>
      <c r="S75" s="83">
        <v>0</v>
      </c>
      <c r="T75" s="83">
        <v>0</v>
      </c>
      <c r="U75" s="83">
        <v>0</v>
      </c>
      <c r="V75" s="83">
        <v>0</v>
      </c>
      <c r="W75" s="83">
        <v>0</v>
      </c>
      <c r="X75" s="83">
        <v>0</v>
      </c>
      <c r="Y75" s="83">
        <v>0</v>
      </c>
      <c r="Z75" s="83">
        <v>0</v>
      </c>
      <c r="AA75" s="83">
        <v>55.837999999999994</v>
      </c>
      <c r="AB75" s="83">
        <v>54.823000000000008</v>
      </c>
      <c r="AC75" s="83">
        <v>35.395000000000003</v>
      </c>
      <c r="AD75" s="83">
        <v>17.081000000000003</v>
      </c>
    </row>
    <row r="76" spans="1:30">
      <c r="A76" s="19" t="s">
        <v>50</v>
      </c>
      <c r="B76" s="289">
        <v>0</v>
      </c>
      <c r="C76" s="236">
        <v>0</v>
      </c>
      <c r="D76" s="236">
        <v>0</v>
      </c>
      <c r="E76" s="236">
        <v>0</v>
      </c>
      <c r="F76" s="236">
        <v>0</v>
      </c>
      <c r="G76" s="236">
        <v>0</v>
      </c>
      <c r="H76" s="236">
        <v>0</v>
      </c>
      <c r="I76" s="236">
        <v>0</v>
      </c>
      <c r="J76" s="236">
        <v>0</v>
      </c>
      <c r="K76" s="236">
        <v>0</v>
      </c>
      <c r="L76" s="236">
        <v>1.9879999999999995</v>
      </c>
      <c r="M76" s="236">
        <v>-6.4169999999999998</v>
      </c>
      <c r="N76" s="236">
        <v>-6.2229999999999999</v>
      </c>
      <c r="O76" s="236">
        <v>-5.95</v>
      </c>
      <c r="P76" s="83"/>
      <c r="Q76" s="288">
        <v>0</v>
      </c>
      <c r="R76" s="83">
        <v>0</v>
      </c>
      <c r="S76" s="83">
        <v>0</v>
      </c>
      <c r="T76" s="83">
        <v>0</v>
      </c>
      <c r="U76" s="83">
        <v>0</v>
      </c>
      <c r="V76" s="83">
        <v>0</v>
      </c>
      <c r="W76" s="83">
        <v>0</v>
      </c>
      <c r="X76" s="83">
        <v>0</v>
      </c>
      <c r="Y76" s="83">
        <v>0</v>
      </c>
      <c r="Z76" s="83">
        <v>0</v>
      </c>
      <c r="AA76" s="83">
        <v>-16.602</v>
      </c>
      <c r="AB76" s="83">
        <v>-18.59</v>
      </c>
      <c r="AC76" s="83">
        <v>-12.173</v>
      </c>
      <c r="AD76" s="83">
        <v>-5.95</v>
      </c>
    </row>
    <row r="77" spans="1:30">
      <c r="A77" s="19" t="s">
        <v>110</v>
      </c>
      <c r="B77" s="289">
        <v>0</v>
      </c>
      <c r="C77" s="236">
        <v>0</v>
      </c>
      <c r="D77" s="236">
        <v>0</v>
      </c>
      <c r="E77" s="236">
        <v>0</v>
      </c>
      <c r="F77" s="236">
        <v>0</v>
      </c>
      <c r="G77" s="236">
        <v>0</v>
      </c>
      <c r="H77" s="236">
        <v>0</v>
      </c>
      <c r="I77" s="236">
        <v>0</v>
      </c>
      <c r="J77" s="236">
        <v>0</v>
      </c>
      <c r="K77" s="236">
        <v>0</v>
      </c>
      <c r="L77" s="236">
        <v>3.0029999999999859</v>
      </c>
      <c r="M77" s="236">
        <v>13.011000000000003</v>
      </c>
      <c r="N77" s="236">
        <v>12.090999999999998</v>
      </c>
      <c r="O77" s="236">
        <v>11.131000000000004</v>
      </c>
      <c r="P77" s="83"/>
      <c r="Q77" s="288">
        <v>0</v>
      </c>
      <c r="R77" s="83">
        <v>0</v>
      </c>
      <c r="S77" s="83">
        <v>0</v>
      </c>
      <c r="T77" s="83">
        <v>0</v>
      </c>
      <c r="U77" s="83">
        <v>0</v>
      </c>
      <c r="V77" s="83">
        <v>0</v>
      </c>
      <c r="W77" s="83">
        <v>0</v>
      </c>
      <c r="X77" s="83">
        <v>0</v>
      </c>
      <c r="Y77" s="83">
        <v>0</v>
      </c>
      <c r="Z77" s="83">
        <v>0</v>
      </c>
      <c r="AA77" s="83">
        <v>39.23599999999999</v>
      </c>
      <c r="AB77" s="83">
        <v>36.233000000000004</v>
      </c>
      <c r="AC77" s="83">
        <v>23.222000000000001</v>
      </c>
      <c r="AD77" s="83">
        <v>11.131000000000004</v>
      </c>
    </row>
    <row r="78" spans="1:30" ht="27.75" customHeight="1">
      <c r="A78" s="79" t="s">
        <v>459</v>
      </c>
      <c r="B78" s="179">
        <v>0</v>
      </c>
      <c r="C78" s="77">
        <v>0</v>
      </c>
      <c r="D78" s="77">
        <v>0</v>
      </c>
      <c r="E78" s="77">
        <v>0</v>
      </c>
      <c r="F78" s="77">
        <v>0</v>
      </c>
      <c r="G78" s="77">
        <v>0</v>
      </c>
      <c r="H78" s="77">
        <v>0</v>
      </c>
      <c r="I78" s="77">
        <v>0</v>
      </c>
      <c r="J78" s="77">
        <v>0</v>
      </c>
      <c r="K78" s="77">
        <v>0</v>
      </c>
      <c r="L78" s="77">
        <v>2.0170000000000003</v>
      </c>
      <c r="M78" s="77">
        <v>-5.2770000000000001</v>
      </c>
      <c r="N78" s="77">
        <v>-0.73999999999999977</v>
      </c>
      <c r="O78" s="77">
        <v>-3.0950000000000002</v>
      </c>
      <c r="P78" s="81"/>
      <c r="Q78" s="287">
        <v>0</v>
      </c>
      <c r="R78" s="81">
        <v>0</v>
      </c>
      <c r="S78" s="81">
        <v>0</v>
      </c>
      <c r="T78" s="81">
        <v>0</v>
      </c>
      <c r="U78" s="81">
        <v>0</v>
      </c>
      <c r="V78" s="81">
        <v>0</v>
      </c>
      <c r="W78" s="81">
        <v>0</v>
      </c>
      <c r="X78" s="81">
        <v>0</v>
      </c>
      <c r="Y78" s="81">
        <v>0</v>
      </c>
      <c r="Z78" s="81">
        <v>0</v>
      </c>
      <c r="AA78" s="81">
        <v>-7.0949999999999998</v>
      </c>
      <c r="AB78" s="81">
        <v>-9.1120000000000001</v>
      </c>
      <c r="AC78" s="81">
        <v>-3.835</v>
      </c>
      <c r="AD78" s="81">
        <v>-3.0950000000000002</v>
      </c>
    </row>
    <row r="79" spans="1:30">
      <c r="A79" s="38" t="s">
        <v>111</v>
      </c>
      <c r="B79" s="179">
        <v>0</v>
      </c>
      <c r="C79" s="77">
        <v>0</v>
      </c>
      <c r="D79" s="77">
        <v>0</v>
      </c>
      <c r="E79" s="77">
        <v>0</v>
      </c>
      <c r="F79" s="77">
        <v>0</v>
      </c>
      <c r="G79" s="77">
        <v>0</v>
      </c>
      <c r="H79" s="77">
        <v>0</v>
      </c>
      <c r="I79" s="77">
        <v>0</v>
      </c>
      <c r="J79" s="77">
        <v>0</v>
      </c>
      <c r="K79" s="77">
        <v>0</v>
      </c>
      <c r="L79" s="77">
        <v>0</v>
      </c>
      <c r="M79" s="77">
        <v>0</v>
      </c>
      <c r="N79" s="77">
        <v>0</v>
      </c>
      <c r="O79" s="77">
        <v>0</v>
      </c>
      <c r="P79" s="81"/>
      <c r="Q79" s="287">
        <v>0</v>
      </c>
      <c r="R79" s="81">
        <v>0</v>
      </c>
      <c r="S79" s="81">
        <v>0</v>
      </c>
      <c r="T79" s="81">
        <v>0</v>
      </c>
      <c r="U79" s="81">
        <v>0</v>
      </c>
      <c r="V79" s="81">
        <v>0</v>
      </c>
      <c r="W79" s="81">
        <v>0</v>
      </c>
      <c r="X79" s="81">
        <v>0</v>
      </c>
      <c r="Y79" s="81">
        <v>0</v>
      </c>
      <c r="Z79" s="81">
        <v>0</v>
      </c>
      <c r="AA79" s="81">
        <v>0</v>
      </c>
      <c r="AB79" s="81">
        <v>0</v>
      </c>
      <c r="AC79" s="81">
        <v>0</v>
      </c>
      <c r="AD79" s="81">
        <v>0</v>
      </c>
    </row>
    <row r="80" spans="1:30">
      <c r="A80" s="38" t="s">
        <v>112</v>
      </c>
      <c r="B80" s="179">
        <v>0</v>
      </c>
      <c r="C80" s="77">
        <v>0</v>
      </c>
      <c r="D80" s="77">
        <v>0</v>
      </c>
      <c r="E80" s="77">
        <v>0</v>
      </c>
      <c r="F80" s="77">
        <v>0</v>
      </c>
      <c r="G80" s="77">
        <v>0</v>
      </c>
      <c r="H80" s="77">
        <v>0</v>
      </c>
      <c r="I80" s="77">
        <v>0</v>
      </c>
      <c r="J80" s="77">
        <v>0</v>
      </c>
      <c r="K80" s="77">
        <v>0</v>
      </c>
      <c r="L80" s="77">
        <v>0</v>
      </c>
      <c r="M80" s="77">
        <v>0</v>
      </c>
      <c r="N80" s="77">
        <v>0</v>
      </c>
      <c r="O80" s="77">
        <v>0</v>
      </c>
      <c r="P80" s="81"/>
      <c r="Q80" s="287">
        <v>0</v>
      </c>
      <c r="R80" s="81">
        <v>0</v>
      </c>
      <c r="S80" s="81">
        <v>0</v>
      </c>
      <c r="T80" s="81">
        <v>0</v>
      </c>
      <c r="U80" s="81">
        <v>0</v>
      </c>
      <c r="V80" s="81">
        <v>0</v>
      </c>
      <c r="W80" s="81">
        <v>0</v>
      </c>
      <c r="X80" s="81">
        <v>0</v>
      </c>
      <c r="Y80" s="81">
        <v>0</v>
      </c>
      <c r="Z80" s="81">
        <v>0</v>
      </c>
      <c r="AA80" s="81">
        <v>0</v>
      </c>
      <c r="AB80" s="81">
        <v>0</v>
      </c>
      <c r="AC80" s="81">
        <v>0</v>
      </c>
      <c r="AD80" s="81">
        <v>0</v>
      </c>
    </row>
    <row r="81" spans="1:30">
      <c r="A81" s="38" t="s">
        <v>113</v>
      </c>
      <c r="B81" s="179">
        <v>0</v>
      </c>
      <c r="C81" s="77">
        <v>0</v>
      </c>
      <c r="D81" s="77">
        <v>0</v>
      </c>
      <c r="E81" s="77">
        <v>0</v>
      </c>
      <c r="F81" s="77">
        <v>0</v>
      </c>
      <c r="G81" s="77">
        <v>0</v>
      </c>
      <c r="H81" s="77">
        <v>0</v>
      </c>
      <c r="I81" s="77">
        <v>0</v>
      </c>
      <c r="J81" s="77">
        <v>0</v>
      </c>
      <c r="K81" s="77">
        <v>0</v>
      </c>
      <c r="L81" s="77">
        <v>0</v>
      </c>
      <c r="M81" s="77">
        <v>0</v>
      </c>
      <c r="N81" s="77">
        <v>0</v>
      </c>
      <c r="O81" s="77">
        <v>0</v>
      </c>
      <c r="P81" s="81"/>
      <c r="Q81" s="287">
        <v>0</v>
      </c>
      <c r="R81" s="81">
        <v>0</v>
      </c>
      <c r="S81" s="81">
        <v>0</v>
      </c>
      <c r="T81" s="81">
        <v>0</v>
      </c>
      <c r="U81" s="81">
        <v>0</v>
      </c>
      <c r="V81" s="81">
        <v>0</v>
      </c>
      <c r="W81" s="81">
        <v>0</v>
      </c>
      <c r="X81" s="81">
        <v>0</v>
      </c>
      <c r="Y81" s="81">
        <v>0</v>
      </c>
      <c r="Z81" s="81">
        <v>0</v>
      </c>
      <c r="AA81" s="81">
        <v>0</v>
      </c>
      <c r="AB81" s="81">
        <v>0</v>
      </c>
      <c r="AC81" s="81">
        <v>0</v>
      </c>
      <c r="AD81" s="81">
        <v>0</v>
      </c>
    </row>
    <row r="82" spans="1:30">
      <c r="A82" s="19" t="s">
        <v>114</v>
      </c>
      <c r="B82" s="289">
        <v>0</v>
      </c>
      <c r="C82" s="236">
        <v>0</v>
      </c>
      <c r="D82" s="236">
        <v>0</v>
      </c>
      <c r="E82" s="236">
        <v>0</v>
      </c>
      <c r="F82" s="236">
        <v>0</v>
      </c>
      <c r="G82" s="236">
        <v>0</v>
      </c>
      <c r="H82" s="236">
        <v>0</v>
      </c>
      <c r="I82" s="236">
        <v>0</v>
      </c>
      <c r="J82" s="236">
        <v>0</v>
      </c>
      <c r="K82" s="236">
        <v>0</v>
      </c>
      <c r="L82" s="236">
        <v>5.0199999999999889</v>
      </c>
      <c r="M82" s="236">
        <v>7.7340000000000018</v>
      </c>
      <c r="N82" s="236">
        <v>11.350999999999997</v>
      </c>
      <c r="O82" s="236">
        <v>8.0360000000000031</v>
      </c>
      <c r="P82" s="83"/>
      <c r="Q82" s="288">
        <v>0</v>
      </c>
      <c r="R82" s="83">
        <v>0</v>
      </c>
      <c r="S82" s="83">
        <v>0</v>
      </c>
      <c r="T82" s="83">
        <v>0</v>
      </c>
      <c r="U82" s="83">
        <v>0</v>
      </c>
      <c r="V82" s="83">
        <v>0</v>
      </c>
      <c r="W82" s="83">
        <v>0</v>
      </c>
      <c r="X82" s="83">
        <v>0</v>
      </c>
      <c r="Y82" s="83">
        <v>0</v>
      </c>
      <c r="Z82" s="83">
        <v>0</v>
      </c>
      <c r="AA82" s="83">
        <v>32.140999999999991</v>
      </c>
      <c r="AB82" s="83">
        <v>27.121000000000002</v>
      </c>
      <c r="AC82" s="83">
        <v>19.387</v>
      </c>
      <c r="AD82" s="83">
        <v>8.0360000000000031</v>
      </c>
    </row>
    <row r="83" spans="1:30">
      <c r="A83" s="38" t="s">
        <v>55</v>
      </c>
      <c r="B83" s="179">
        <v>0</v>
      </c>
      <c r="C83" s="77">
        <v>0</v>
      </c>
      <c r="D83" s="77">
        <v>0</v>
      </c>
      <c r="E83" s="77">
        <v>0</v>
      </c>
      <c r="F83" s="77">
        <v>0</v>
      </c>
      <c r="G83" s="77">
        <v>0</v>
      </c>
      <c r="H83" s="77">
        <v>0</v>
      </c>
      <c r="I83" s="77">
        <v>0</v>
      </c>
      <c r="J83" s="77">
        <v>0</v>
      </c>
      <c r="K83" s="77">
        <v>0</v>
      </c>
      <c r="L83" s="77">
        <v>-0.62749999999999861</v>
      </c>
      <c r="M83" s="77">
        <v>-0.96675000000000022</v>
      </c>
      <c r="N83" s="77">
        <v>-1.4188749999999997</v>
      </c>
      <c r="O83" s="77">
        <v>-1.0045000000000004</v>
      </c>
      <c r="P83" s="81"/>
      <c r="Q83" s="287">
        <v>0</v>
      </c>
      <c r="R83" s="81">
        <v>0</v>
      </c>
      <c r="S83" s="81">
        <v>0</v>
      </c>
      <c r="T83" s="81">
        <v>0</v>
      </c>
      <c r="U83" s="81">
        <v>0</v>
      </c>
      <c r="V83" s="81">
        <v>0</v>
      </c>
      <c r="W83" s="81">
        <v>0</v>
      </c>
      <c r="X83" s="81">
        <v>0</v>
      </c>
      <c r="Y83" s="81">
        <v>0</v>
      </c>
      <c r="Z83" s="81">
        <v>0</v>
      </c>
      <c r="AA83" s="81">
        <v>-4.0176249999999989</v>
      </c>
      <c r="AB83" s="81">
        <v>-3.3901250000000003</v>
      </c>
      <c r="AC83" s="81">
        <v>-2.4233750000000001</v>
      </c>
      <c r="AD83" s="81">
        <v>-1.0045000000000004</v>
      </c>
    </row>
    <row r="84" spans="1:30">
      <c r="A84" s="38" t="s">
        <v>115</v>
      </c>
      <c r="B84" s="179">
        <v>0</v>
      </c>
      <c r="C84" s="77">
        <v>0</v>
      </c>
      <c r="D84" s="77">
        <v>0</v>
      </c>
      <c r="E84" s="77">
        <v>0</v>
      </c>
      <c r="F84" s="77">
        <v>0</v>
      </c>
      <c r="G84" s="77">
        <v>0</v>
      </c>
      <c r="H84" s="77">
        <v>0</v>
      </c>
      <c r="I84" s="77">
        <v>0</v>
      </c>
      <c r="J84" s="77">
        <v>0</v>
      </c>
      <c r="K84" s="77">
        <v>0</v>
      </c>
      <c r="L84" s="77">
        <v>0</v>
      </c>
      <c r="M84" s="77">
        <v>0</v>
      </c>
      <c r="N84" s="77">
        <v>0</v>
      </c>
      <c r="O84" s="77">
        <v>0</v>
      </c>
      <c r="P84" s="81"/>
      <c r="Q84" s="287">
        <v>0</v>
      </c>
      <c r="R84" s="81">
        <v>0</v>
      </c>
      <c r="S84" s="81">
        <v>0</v>
      </c>
      <c r="T84" s="81">
        <v>0</v>
      </c>
      <c r="U84" s="81">
        <v>0</v>
      </c>
      <c r="V84" s="81">
        <v>0</v>
      </c>
      <c r="W84" s="81">
        <v>0</v>
      </c>
      <c r="X84" s="81">
        <v>0</v>
      </c>
      <c r="Y84" s="81">
        <v>0</v>
      </c>
      <c r="Z84" s="81">
        <v>0</v>
      </c>
      <c r="AA84" s="81">
        <v>0</v>
      </c>
      <c r="AB84" s="81">
        <v>0</v>
      </c>
      <c r="AC84" s="81">
        <v>0</v>
      </c>
      <c r="AD84" s="81">
        <v>0</v>
      </c>
    </row>
    <row r="85" spans="1:30">
      <c r="A85" s="19" t="s">
        <v>116</v>
      </c>
      <c r="B85" s="289">
        <v>0</v>
      </c>
      <c r="C85" s="236">
        <v>0</v>
      </c>
      <c r="D85" s="236">
        <v>0</v>
      </c>
      <c r="E85" s="236">
        <v>0</v>
      </c>
      <c r="F85" s="236">
        <v>0</v>
      </c>
      <c r="G85" s="236">
        <v>0</v>
      </c>
      <c r="H85" s="236">
        <v>0</v>
      </c>
      <c r="I85" s="236">
        <v>0</v>
      </c>
      <c r="J85" s="236">
        <v>0</v>
      </c>
      <c r="K85" s="236">
        <v>0</v>
      </c>
      <c r="L85" s="236">
        <v>4.3924999999999912</v>
      </c>
      <c r="M85" s="236">
        <v>6.7672500000000007</v>
      </c>
      <c r="N85" s="236">
        <v>9.9321249999999974</v>
      </c>
      <c r="O85" s="236">
        <v>7.031500000000003</v>
      </c>
      <c r="P85" s="83"/>
      <c r="Q85" s="288">
        <v>0</v>
      </c>
      <c r="R85" s="83">
        <v>0</v>
      </c>
      <c r="S85" s="83">
        <v>0</v>
      </c>
      <c r="T85" s="83">
        <v>0</v>
      </c>
      <c r="U85" s="83">
        <v>0</v>
      </c>
      <c r="V85" s="83">
        <v>0</v>
      </c>
      <c r="W85" s="83">
        <v>0</v>
      </c>
      <c r="X85" s="83">
        <v>0</v>
      </c>
      <c r="Y85" s="83">
        <v>0</v>
      </c>
      <c r="Z85" s="83">
        <v>0</v>
      </c>
      <c r="AA85" s="83">
        <v>28.123374999999992</v>
      </c>
      <c r="AB85" s="83">
        <v>23.730875000000001</v>
      </c>
      <c r="AC85" s="83">
        <v>16.963625</v>
      </c>
      <c r="AD85" s="83">
        <v>7.031500000000003</v>
      </c>
    </row>
    <row r="86" spans="1:30">
      <c r="A86" s="25"/>
      <c r="B86" s="25"/>
      <c r="C86" s="25"/>
      <c r="D86" s="25"/>
      <c r="E86" s="25"/>
      <c r="F86" s="25"/>
      <c r="G86" s="25"/>
      <c r="H86" s="25"/>
      <c r="I86" s="25"/>
      <c r="J86" s="25"/>
      <c r="K86" s="25"/>
      <c r="L86" s="25"/>
      <c r="M86" s="25"/>
      <c r="N86" s="25"/>
      <c r="O86" s="25"/>
      <c r="P86" s="82"/>
      <c r="Q86" s="82"/>
      <c r="R86" s="82"/>
      <c r="S86" s="82"/>
      <c r="T86" s="82"/>
      <c r="U86" s="82"/>
      <c r="V86" s="82"/>
      <c r="W86" s="82"/>
      <c r="X86" s="82"/>
      <c r="Y86" s="82"/>
      <c r="Z86" s="82"/>
      <c r="AA86" s="82"/>
      <c r="AB86" s="82"/>
      <c r="AC86" s="82"/>
      <c r="AD86" s="82"/>
    </row>
    <row r="87" spans="1:30">
      <c r="A87" s="19" t="s">
        <v>43</v>
      </c>
      <c r="B87" s="75" t="s">
        <v>629</v>
      </c>
      <c r="C87" s="75" t="s">
        <v>606</v>
      </c>
      <c r="D87" s="75" t="s">
        <v>593</v>
      </c>
      <c r="E87" s="75" t="s">
        <v>550</v>
      </c>
      <c r="F87" s="75" t="s">
        <v>524</v>
      </c>
      <c r="G87" s="75" t="s">
        <v>513</v>
      </c>
      <c r="H87" s="75" t="s">
        <v>502</v>
      </c>
      <c r="I87" s="75" t="s">
        <v>419</v>
      </c>
      <c r="J87" s="75" t="s">
        <v>401</v>
      </c>
      <c r="K87" s="75" t="s">
        <v>387</v>
      </c>
      <c r="L87" s="75" t="s">
        <v>476</v>
      </c>
      <c r="M87" s="75" t="s">
        <v>477</v>
      </c>
      <c r="N87" s="75" t="s">
        <v>478</v>
      </c>
      <c r="O87" s="75" t="s">
        <v>479</v>
      </c>
      <c r="P87" s="75"/>
      <c r="Q87" s="75" t="s">
        <v>630</v>
      </c>
      <c r="R87" s="75" t="s">
        <v>607</v>
      </c>
      <c r="S87" s="75" t="s">
        <v>594</v>
      </c>
      <c r="T87" s="75" t="s">
        <v>551</v>
      </c>
      <c r="U87" s="75" t="s">
        <v>525</v>
      </c>
      <c r="V87" s="75" t="s">
        <v>514</v>
      </c>
      <c r="W87" s="75" t="s">
        <v>503</v>
      </c>
      <c r="X87" s="75" t="s">
        <v>420</v>
      </c>
      <c r="Y87" s="75" t="s">
        <v>402</v>
      </c>
      <c r="Z87" s="75" t="s">
        <v>388</v>
      </c>
      <c r="AA87" s="75" t="s">
        <v>715</v>
      </c>
      <c r="AB87" s="75" t="s">
        <v>716</v>
      </c>
      <c r="AC87" s="75" t="s">
        <v>717</v>
      </c>
      <c r="AD87" s="75" t="s">
        <v>718</v>
      </c>
    </row>
    <row r="88" spans="1:30">
      <c r="A88" s="21" t="s">
        <v>689</v>
      </c>
      <c r="B88" s="21"/>
      <c r="C88" s="21"/>
      <c r="D88" s="21"/>
      <c r="E88" s="21"/>
      <c r="F88" s="21"/>
      <c r="G88" s="21"/>
      <c r="H88" s="21"/>
      <c r="I88" s="21"/>
      <c r="J88" s="21"/>
      <c r="K88" s="21"/>
      <c r="L88" s="21"/>
      <c r="M88" s="21"/>
      <c r="N88" s="21"/>
      <c r="O88" s="21"/>
      <c r="P88" s="85"/>
      <c r="Q88" s="85"/>
      <c r="R88" s="85"/>
      <c r="S88" s="85"/>
      <c r="T88" s="85"/>
      <c r="U88" s="85"/>
      <c r="V88" s="85"/>
      <c r="W88" s="85"/>
      <c r="X88" s="85"/>
      <c r="Y88" s="85"/>
      <c r="Z88" s="85"/>
      <c r="AA88" s="85"/>
      <c r="AB88" s="85"/>
      <c r="AC88" s="85"/>
      <c r="AD88" s="85"/>
    </row>
    <row r="89" spans="1:30">
      <c r="A89" s="38" t="s">
        <v>44</v>
      </c>
      <c r="B89" s="179">
        <v>30.682999999999993</v>
      </c>
      <c r="C89" s="77">
        <v>33.712000000000003</v>
      </c>
      <c r="D89" s="77">
        <v>132.14999999999998</v>
      </c>
      <c r="E89" s="77">
        <v>9.3889999999999993</v>
      </c>
      <c r="F89" s="77">
        <v>9.0310000000000006</v>
      </c>
      <c r="G89" s="77">
        <v>8.6519999999999992</v>
      </c>
      <c r="H89" s="77">
        <v>9.2590000000000003</v>
      </c>
      <c r="I89" s="77">
        <v>9.3189999999999991</v>
      </c>
      <c r="J89" s="77">
        <v>6.5810000000000004</v>
      </c>
      <c r="K89" s="77">
        <v>7.5119999999999996</v>
      </c>
      <c r="L89" s="77">
        <v>23.224</v>
      </c>
      <c r="M89" s="77"/>
      <c r="N89" s="77"/>
      <c r="O89" s="77"/>
      <c r="P89" s="81"/>
      <c r="Q89" s="287">
        <v>64.394999999999996</v>
      </c>
      <c r="R89" s="81">
        <v>33.712000000000003</v>
      </c>
      <c r="S89" s="81">
        <v>159.22199999999998</v>
      </c>
      <c r="T89" s="81">
        <v>27.071999999999999</v>
      </c>
      <c r="U89" s="81">
        <v>17.683</v>
      </c>
      <c r="V89" s="81">
        <v>8.6519999999999992</v>
      </c>
      <c r="W89" s="81">
        <v>32.670999999999999</v>
      </c>
      <c r="X89" s="81">
        <v>23.411999999999999</v>
      </c>
      <c r="Y89" s="81">
        <v>14.093</v>
      </c>
      <c r="Z89" s="81">
        <v>7.5119999999999996</v>
      </c>
      <c r="AA89" s="81">
        <v>23.224</v>
      </c>
      <c r="AB89" s="81"/>
      <c r="AC89" s="81"/>
      <c r="AD89" s="81"/>
    </row>
    <row r="90" spans="1:30">
      <c r="A90" s="38" t="s">
        <v>109</v>
      </c>
      <c r="B90" s="179">
        <v>11.942</v>
      </c>
      <c r="C90" s="77">
        <v>11.995000000000001</v>
      </c>
      <c r="D90" s="77">
        <v>47.984999999999999</v>
      </c>
      <c r="E90" s="77">
        <v>0.27400000000000002</v>
      </c>
      <c r="F90" s="77">
        <v>0.248</v>
      </c>
      <c r="G90" s="77">
        <v>0.23599999999999999</v>
      </c>
      <c r="H90" s="77">
        <v>0.26400000000000001</v>
      </c>
      <c r="I90" s="77">
        <v>0.41200000000000003</v>
      </c>
      <c r="J90" s="77">
        <v>0.32599999999999996</v>
      </c>
      <c r="K90" s="77">
        <v>0.26</v>
      </c>
      <c r="L90" s="77">
        <v>1.575</v>
      </c>
      <c r="M90" s="77"/>
      <c r="N90" s="77"/>
      <c r="O90" s="77"/>
      <c r="P90" s="81"/>
      <c r="Q90" s="287">
        <v>23.937000000000001</v>
      </c>
      <c r="R90" s="81">
        <v>11.995000000000001</v>
      </c>
      <c r="S90" s="81">
        <v>48.743000000000002</v>
      </c>
      <c r="T90" s="81">
        <v>0.75800000000000001</v>
      </c>
      <c r="U90" s="81">
        <v>0.48399999999999999</v>
      </c>
      <c r="V90" s="81">
        <v>0.23599999999999999</v>
      </c>
      <c r="W90" s="81">
        <v>1.262</v>
      </c>
      <c r="X90" s="81">
        <v>0.998</v>
      </c>
      <c r="Y90" s="81">
        <v>0.58599999999999997</v>
      </c>
      <c r="Z90" s="81">
        <v>0.26</v>
      </c>
      <c r="AA90" s="81">
        <v>1.575</v>
      </c>
      <c r="AB90" s="81"/>
      <c r="AC90" s="81"/>
      <c r="AD90" s="81"/>
    </row>
    <row r="91" spans="1:30">
      <c r="A91" s="38" t="s">
        <v>46</v>
      </c>
      <c r="B91" s="179">
        <v>2.0369999999999999</v>
      </c>
      <c r="C91" s="77">
        <v>2.1639999999999997</v>
      </c>
      <c r="D91" s="77">
        <v>6.8</v>
      </c>
      <c r="E91" s="77">
        <v>1.2E-2</v>
      </c>
      <c r="F91" s="77">
        <v>9.9999999999999915E-4</v>
      </c>
      <c r="G91" s="77">
        <v>0.01</v>
      </c>
      <c r="H91" s="77">
        <v>-0.15799999999999997</v>
      </c>
      <c r="I91" s="77">
        <v>0.02</v>
      </c>
      <c r="J91" s="77">
        <v>-1.0999999999999999E-2</v>
      </c>
      <c r="K91" s="77">
        <v>6.0000000000000001E-3</v>
      </c>
      <c r="L91" s="77">
        <v>0.05</v>
      </c>
      <c r="M91" s="77"/>
      <c r="N91" s="77"/>
      <c r="O91" s="77"/>
      <c r="P91" s="81"/>
      <c r="Q91" s="287">
        <v>4.2009999999999996</v>
      </c>
      <c r="R91" s="81">
        <v>2.1639999999999997</v>
      </c>
      <c r="S91" s="81">
        <v>6.8229999999999995</v>
      </c>
      <c r="T91" s="81">
        <v>2.3E-2</v>
      </c>
      <c r="U91" s="81">
        <v>1.0999999999999999E-2</v>
      </c>
      <c r="V91" s="81">
        <v>0.01</v>
      </c>
      <c r="W91" s="81">
        <v>-0.14299999999999999</v>
      </c>
      <c r="X91" s="81">
        <v>1.4999999999999999E-2</v>
      </c>
      <c r="Y91" s="81">
        <v>-5.0000000000000001E-3</v>
      </c>
      <c r="Z91" s="81">
        <v>6.0000000000000001E-3</v>
      </c>
      <c r="AA91" s="81">
        <v>0.05</v>
      </c>
      <c r="AB91" s="81"/>
      <c r="AC91" s="81"/>
      <c r="AD91" s="81"/>
    </row>
    <row r="92" spans="1:30">
      <c r="A92" s="19" t="s">
        <v>47</v>
      </c>
      <c r="B92" s="289">
        <v>44.661999999999978</v>
      </c>
      <c r="C92" s="236">
        <v>47.871000000000009</v>
      </c>
      <c r="D92" s="236">
        <v>186.93499999999997</v>
      </c>
      <c r="E92" s="236">
        <v>9.6749999999999972</v>
      </c>
      <c r="F92" s="236">
        <v>9.2800000000000011</v>
      </c>
      <c r="G92" s="236">
        <v>8.8979999999999997</v>
      </c>
      <c r="H92" s="236">
        <v>9.3649999999999984</v>
      </c>
      <c r="I92" s="236">
        <v>9.7510000000000012</v>
      </c>
      <c r="J92" s="236">
        <v>6.8959999999999999</v>
      </c>
      <c r="K92" s="236">
        <v>7.7779999999999996</v>
      </c>
      <c r="L92" s="236">
        <v>24.849</v>
      </c>
      <c r="M92" s="236"/>
      <c r="N92" s="236"/>
      <c r="O92" s="236"/>
      <c r="P92" s="83"/>
      <c r="Q92" s="288">
        <v>92.532999999999987</v>
      </c>
      <c r="R92" s="83">
        <v>47.871000000000009</v>
      </c>
      <c r="S92" s="83">
        <v>214.78799999999998</v>
      </c>
      <c r="T92" s="83">
        <v>27.852999999999998</v>
      </c>
      <c r="U92" s="83">
        <v>18.178000000000001</v>
      </c>
      <c r="V92" s="83">
        <v>8.8979999999999997</v>
      </c>
      <c r="W92" s="83">
        <v>33.79</v>
      </c>
      <c r="X92" s="83">
        <v>24.425000000000001</v>
      </c>
      <c r="Y92" s="83">
        <v>14.673999999999999</v>
      </c>
      <c r="Z92" s="83">
        <v>7.7779999999999996</v>
      </c>
      <c r="AA92" s="83">
        <v>24.849</v>
      </c>
      <c r="AB92" s="83"/>
      <c r="AC92" s="83"/>
      <c r="AD92" s="83"/>
    </row>
    <row r="93" spans="1:30">
      <c r="A93" s="19" t="s">
        <v>50</v>
      </c>
      <c r="B93" s="289">
        <v>-10.747</v>
      </c>
      <c r="C93" s="236">
        <v>-10.582000000000001</v>
      </c>
      <c r="D93" s="236">
        <v>-35.18</v>
      </c>
      <c r="E93" s="236">
        <v>-2.6289999999999996</v>
      </c>
      <c r="F93" s="236">
        <v>-2.25</v>
      </c>
      <c r="G93" s="236">
        <v>-2.181</v>
      </c>
      <c r="H93" s="236">
        <v>-2.202</v>
      </c>
      <c r="I93" s="236">
        <v>-2.0919999999999996</v>
      </c>
      <c r="J93" s="236">
        <v>-2.1120000000000001</v>
      </c>
      <c r="K93" s="236">
        <v>-2.0880000000000001</v>
      </c>
      <c r="L93" s="236">
        <v>-8.3079999999999998</v>
      </c>
      <c r="M93" s="236"/>
      <c r="N93" s="236"/>
      <c r="O93" s="236"/>
      <c r="P93" s="83"/>
      <c r="Q93" s="288">
        <v>-21.329000000000001</v>
      </c>
      <c r="R93" s="83">
        <v>-10.582000000000001</v>
      </c>
      <c r="S93" s="83">
        <v>-42.24</v>
      </c>
      <c r="T93" s="83">
        <v>-7.06</v>
      </c>
      <c r="U93" s="83">
        <v>-4.431</v>
      </c>
      <c r="V93" s="83">
        <v>-2.181</v>
      </c>
      <c r="W93" s="83">
        <v>-8.4939999999999998</v>
      </c>
      <c r="X93" s="83">
        <v>-6.2919999999999998</v>
      </c>
      <c r="Y93" s="83">
        <v>-4.2</v>
      </c>
      <c r="Z93" s="83">
        <v>-2.0880000000000001</v>
      </c>
      <c r="AA93" s="83">
        <v>-8.3079999999999998</v>
      </c>
      <c r="AB93" s="83"/>
      <c r="AC93" s="83"/>
      <c r="AD93" s="83"/>
    </row>
    <row r="94" spans="1:30">
      <c r="A94" s="19" t="s">
        <v>110</v>
      </c>
      <c r="B94" s="289">
        <v>33.914999999999971</v>
      </c>
      <c r="C94" s="236">
        <v>37.289000000000009</v>
      </c>
      <c r="D94" s="236">
        <v>151.75499999999997</v>
      </c>
      <c r="E94" s="236">
        <v>7.0459999999999994</v>
      </c>
      <c r="F94" s="236">
        <v>7.03</v>
      </c>
      <c r="G94" s="236">
        <v>6.7169999999999996</v>
      </c>
      <c r="H94" s="236">
        <v>7.1629999999999967</v>
      </c>
      <c r="I94" s="236">
        <v>7.6590000000000025</v>
      </c>
      <c r="J94" s="236">
        <v>4.7840000000000007</v>
      </c>
      <c r="K94" s="236">
        <v>5.6899999999999995</v>
      </c>
      <c r="L94" s="236">
        <v>16.541</v>
      </c>
      <c r="M94" s="236"/>
      <c r="N94" s="236"/>
      <c r="O94" s="236"/>
      <c r="P94" s="83"/>
      <c r="Q94" s="288">
        <v>71.203999999999979</v>
      </c>
      <c r="R94" s="83">
        <v>37.289000000000009</v>
      </c>
      <c r="S94" s="83">
        <v>172.54799999999997</v>
      </c>
      <c r="T94" s="83">
        <v>20.792999999999999</v>
      </c>
      <c r="U94" s="83">
        <v>13.747</v>
      </c>
      <c r="V94" s="83">
        <v>6.7169999999999996</v>
      </c>
      <c r="W94" s="83">
        <v>25.295999999999999</v>
      </c>
      <c r="X94" s="83">
        <v>18.133000000000003</v>
      </c>
      <c r="Y94" s="83">
        <v>10.474</v>
      </c>
      <c r="Z94" s="83">
        <v>5.6899999999999995</v>
      </c>
      <c r="AA94" s="83">
        <v>16.541</v>
      </c>
      <c r="AB94" s="83"/>
      <c r="AC94" s="83"/>
      <c r="AD94" s="83"/>
    </row>
    <row r="95" spans="1:30" ht="27.75" customHeight="1">
      <c r="A95" s="79" t="s">
        <v>459</v>
      </c>
      <c r="B95" s="179">
        <v>-4.0999999999999925E-2</v>
      </c>
      <c r="C95" s="77">
        <v>-3.226</v>
      </c>
      <c r="D95" s="77">
        <v>-1.9039999999999999</v>
      </c>
      <c r="E95" s="77">
        <v>0.90899999999999992</v>
      </c>
      <c r="F95" s="77">
        <v>-1.573</v>
      </c>
      <c r="G95" s="77">
        <v>0.52600000000000002</v>
      </c>
      <c r="H95" s="77">
        <v>-3.4999999999999698E-2</v>
      </c>
      <c r="I95" s="77">
        <v>-1.8590000000000002</v>
      </c>
      <c r="J95" s="77">
        <v>-0.14699999999999999</v>
      </c>
      <c r="K95" s="77">
        <v>-2.9000000000000001E-2</v>
      </c>
      <c r="L95" s="77">
        <v>-0.12</v>
      </c>
      <c r="M95" s="77"/>
      <c r="N95" s="77"/>
      <c r="O95" s="77"/>
      <c r="P95" s="81"/>
      <c r="Q95" s="287">
        <v>-3.2669999999999999</v>
      </c>
      <c r="R95" s="81">
        <v>-3.226</v>
      </c>
      <c r="S95" s="81">
        <v>-2.0419999999999998</v>
      </c>
      <c r="T95" s="81">
        <v>-0.13800000000000001</v>
      </c>
      <c r="U95" s="81">
        <v>-1.0469999999999999</v>
      </c>
      <c r="V95" s="81">
        <v>0.52600000000000002</v>
      </c>
      <c r="W95" s="81">
        <v>-2.0699999999999998</v>
      </c>
      <c r="X95" s="81">
        <v>-2.0350000000000001</v>
      </c>
      <c r="Y95" s="81">
        <v>-0.17599999999999999</v>
      </c>
      <c r="Z95" s="81">
        <v>-2.9000000000000001E-2</v>
      </c>
      <c r="AA95" s="81">
        <v>-0.12</v>
      </c>
      <c r="AB95" s="81"/>
      <c r="AC95" s="81"/>
      <c r="AD95" s="81"/>
    </row>
    <row r="96" spans="1:30">
      <c r="A96" s="38" t="s">
        <v>111</v>
      </c>
      <c r="B96" s="179">
        <v>0</v>
      </c>
      <c r="C96" s="77">
        <v>0</v>
      </c>
      <c r="D96" s="77">
        <v>0.56499999999999995</v>
      </c>
      <c r="E96" s="77">
        <v>0</v>
      </c>
      <c r="F96" s="77">
        <v>0</v>
      </c>
      <c r="G96" s="77">
        <v>0</v>
      </c>
      <c r="H96" s="77">
        <v>0</v>
      </c>
      <c r="I96" s="77">
        <v>0</v>
      </c>
      <c r="J96" s="77">
        <v>0</v>
      </c>
      <c r="K96" s="77">
        <v>0</v>
      </c>
      <c r="L96" s="77">
        <v>0</v>
      </c>
      <c r="M96" s="77"/>
      <c r="N96" s="77"/>
      <c r="O96" s="77"/>
      <c r="P96" s="81"/>
      <c r="Q96" s="287">
        <v>0</v>
      </c>
      <c r="R96" s="81">
        <v>0</v>
      </c>
      <c r="S96" s="81">
        <v>0.56499999999999995</v>
      </c>
      <c r="T96" s="81">
        <v>0</v>
      </c>
      <c r="U96" s="81">
        <v>0</v>
      </c>
      <c r="V96" s="81">
        <v>0</v>
      </c>
      <c r="W96" s="81">
        <v>0</v>
      </c>
      <c r="X96" s="81">
        <v>0</v>
      </c>
      <c r="Y96" s="81">
        <v>0</v>
      </c>
      <c r="Z96" s="81">
        <v>0</v>
      </c>
      <c r="AA96" s="81">
        <v>0</v>
      </c>
      <c r="AB96" s="81"/>
      <c r="AC96" s="81"/>
      <c r="AD96" s="81"/>
    </row>
    <row r="97" spans="1:30">
      <c r="A97" s="38" t="s">
        <v>112</v>
      </c>
      <c r="B97" s="179">
        <v>0</v>
      </c>
      <c r="C97" s="77">
        <v>0</v>
      </c>
      <c r="D97" s="77">
        <v>0</v>
      </c>
      <c r="E97" s="77">
        <v>0</v>
      </c>
      <c r="F97" s="77">
        <v>0</v>
      </c>
      <c r="G97" s="77">
        <v>0</v>
      </c>
      <c r="H97" s="77">
        <v>0</v>
      </c>
      <c r="I97" s="77">
        <v>0</v>
      </c>
      <c r="J97" s="77">
        <v>0</v>
      </c>
      <c r="K97" s="77">
        <v>0</v>
      </c>
      <c r="L97" s="77">
        <v>0</v>
      </c>
      <c r="M97" s="77"/>
      <c r="N97" s="77"/>
      <c r="O97" s="77"/>
      <c r="P97" s="81"/>
      <c r="Q97" s="287">
        <v>0</v>
      </c>
      <c r="R97" s="81">
        <v>0</v>
      </c>
      <c r="S97" s="81">
        <v>0</v>
      </c>
      <c r="T97" s="81">
        <v>0</v>
      </c>
      <c r="U97" s="81">
        <v>0</v>
      </c>
      <c r="V97" s="81">
        <v>0</v>
      </c>
      <c r="W97" s="81">
        <v>0</v>
      </c>
      <c r="X97" s="81">
        <v>0</v>
      </c>
      <c r="Y97" s="81">
        <v>0</v>
      </c>
      <c r="Z97" s="81">
        <v>0</v>
      </c>
      <c r="AA97" s="81">
        <v>0</v>
      </c>
      <c r="AB97" s="81"/>
      <c r="AC97" s="81"/>
      <c r="AD97" s="81"/>
    </row>
    <row r="98" spans="1:30">
      <c r="A98" s="38" t="s">
        <v>113</v>
      </c>
      <c r="B98" s="179">
        <v>0</v>
      </c>
      <c r="C98" s="77">
        <v>0</v>
      </c>
      <c r="D98" s="77">
        <v>0</v>
      </c>
      <c r="E98" s="77">
        <v>0</v>
      </c>
      <c r="F98" s="77">
        <v>0</v>
      </c>
      <c r="G98" s="77">
        <v>0</v>
      </c>
      <c r="H98" s="77">
        <v>0</v>
      </c>
      <c r="I98" s="77">
        <v>0</v>
      </c>
      <c r="J98" s="77">
        <v>0</v>
      </c>
      <c r="K98" s="77">
        <v>0</v>
      </c>
      <c r="L98" s="77">
        <v>0</v>
      </c>
      <c r="M98" s="77"/>
      <c r="N98" s="77"/>
      <c r="O98" s="77"/>
      <c r="P98" s="81"/>
      <c r="Q98" s="287">
        <v>0</v>
      </c>
      <c r="R98" s="81">
        <v>0</v>
      </c>
      <c r="S98" s="81">
        <v>0</v>
      </c>
      <c r="T98" s="81">
        <v>0</v>
      </c>
      <c r="U98" s="81">
        <v>0</v>
      </c>
      <c r="V98" s="81">
        <v>0</v>
      </c>
      <c r="W98" s="81">
        <v>0</v>
      </c>
      <c r="X98" s="81">
        <v>0</v>
      </c>
      <c r="Y98" s="81">
        <v>0</v>
      </c>
      <c r="Z98" s="81">
        <v>0</v>
      </c>
      <c r="AA98" s="81">
        <v>0</v>
      </c>
      <c r="AB98" s="81"/>
      <c r="AC98" s="81"/>
      <c r="AD98" s="81"/>
    </row>
    <row r="99" spans="1:30">
      <c r="A99" s="19" t="s">
        <v>114</v>
      </c>
      <c r="B99" s="289">
        <v>33.873999999999974</v>
      </c>
      <c r="C99" s="236">
        <v>34.063000000000009</v>
      </c>
      <c r="D99" s="236">
        <v>150.41599999999997</v>
      </c>
      <c r="E99" s="236">
        <v>7.9549999999999983</v>
      </c>
      <c r="F99" s="236">
        <v>5.4569999999999999</v>
      </c>
      <c r="G99" s="236">
        <v>7.2429999999999994</v>
      </c>
      <c r="H99" s="236">
        <v>7.1279999999999966</v>
      </c>
      <c r="I99" s="236">
        <v>5.8000000000000025</v>
      </c>
      <c r="J99" s="236">
        <v>4.6370000000000005</v>
      </c>
      <c r="K99" s="236">
        <v>5.6609999999999996</v>
      </c>
      <c r="L99" s="236">
        <v>16.420999999999999</v>
      </c>
      <c r="M99" s="236"/>
      <c r="N99" s="236"/>
      <c r="O99" s="236"/>
      <c r="P99" s="83"/>
      <c r="Q99" s="288">
        <v>67.936999999999983</v>
      </c>
      <c r="R99" s="83">
        <v>34.063000000000009</v>
      </c>
      <c r="S99" s="83">
        <v>171.07099999999997</v>
      </c>
      <c r="T99" s="83">
        <v>20.654999999999998</v>
      </c>
      <c r="U99" s="83">
        <v>12.7</v>
      </c>
      <c r="V99" s="83">
        <v>7.2429999999999994</v>
      </c>
      <c r="W99" s="83">
        <v>23.225999999999999</v>
      </c>
      <c r="X99" s="83">
        <v>16.098000000000003</v>
      </c>
      <c r="Y99" s="83">
        <v>10.298</v>
      </c>
      <c r="Z99" s="83">
        <v>5.6609999999999996</v>
      </c>
      <c r="AA99" s="83">
        <v>16.420999999999999</v>
      </c>
      <c r="AB99" s="83"/>
      <c r="AC99" s="83"/>
      <c r="AD99" s="83"/>
    </row>
    <row r="100" spans="1:30">
      <c r="A100" s="38" t="s">
        <v>55</v>
      </c>
      <c r="B100" s="179">
        <v>-4.2342499999999967</v>
      </c>
      <c r="C100" s="77">
        <v>-4.2578750000000012</v>
      </c>
      <c r="D100" s="77">
        <v>-18.285624999999996</v>
      </c>
      <c r="E100" s="77">
        <v>-1.1932499999999999</v>
      </c>
      <c r="F100" s="77">
        <v>-0.81854999999999989</v>
      </c>
      <c r="G100" s="77">
        <v>-1.0864499999999999</v>
      </c>
      <c r="H100" s="77">
        <v>-0.89099999999999957</v>
      </c>
      <c r="I100" s="77">
        <v>-0.72500000000000031</v>
      </c>
      <c r="J100" s="77">
        <v>-0.57962500000000006</v>
      </c>
      <c r="K100" s="77">
        <v>-0.70762499999999995</v>
      </c>
      <c r="L100" s="77">
        <v>-2.0526249999999999</v>
      </c>
      <c r="M100" s="77"/>
      <c r="N100" s="77"/>
      <c r="O100" s="77"/>
      <c r="P100" s="81"/>
      <c r="Q100" s="287">
        <v>-8.4921249999999979</v>
      </c>
      <c r="R100" s="81">
        <v>-4.2578750000000012</v>
      </c>
      <c r="S100" s="81">
        <v>-21.383874999999996</v>
      </c>
      <c r="T100" s="81">
        <v>-3.0982499999999997</v>
      </c>
      <c r="U100" s="81">
        <v>-1.9049999999999998</v>
      </c>
      <c r="V100" s="81">
        <v>-1.0864499999999999</v>
      </c>
      <c r="W100" s="81">
        <v>-2.9032499999999999</v>
      </c>
      <c r="X100" s="81">
        <v>-2.0122500000000003</v>
      </c>
      <c r="Y100" s="81">
        <v>-1.28725</v>
      </c>
      <c r="Z100" s="81">
        <v>-0.70762499999999995</v>
      </c>
      <c r="AA100" s="81">
        <v>-2.0526249999999999</v>
      </c>
      <c r="AB100" s="81"/>
      <c r="AC100" s="81"/>
      <c r="AD100" s="81"/>
    </row>
    <row r="101" spans="1:30">
      <c r="A101" s="38" t="s">
        <v>115</v>
      </c>
      <c r="B101" s="179">
        <v>0</v>
      </c>
      <c r="C101" s="77">
        <v>0</v>
      </c>
      <c r="D101" s="77">
        <v>0</v>
      </c>
      <c r="E101" s="77">
        <v>0</v>
      </c>
      <c r="F101" s="77">
        <v>0</v>
      </c>
      <c r="G101" s="77">
        <v>0</v>
      </c>
      <c r="H101" s="77">
        <v>0</v>
      </c>
      <c r="I101" s="77">
        <v>0</v>
      </c>
      <c r="J101" s="77">
        <v>0</v>
      </c>
      <c r="K101" s="77">
        <v>0</v>
      </c>
      <c r="L101" s="77">
        <v>0</v>
      </c>
      <c r="M101" s="77"/>
      <c r="N101" s="77"/>
      <c r="O101" s="77"/>
      <c r="P101" s="81"/>
      <c r="Q101" s="287">
        <v>0</v>
      </c>
      <c r="R101" s="81">
        <v>0</v>
      </c>
      <c r="S101" s="81">
        <v>0</v>
      </c>
      <c r="T101" s="81">
        <v>0</v>
      </c>
      <c r="U101" s="81">
        <v>0</v>
      </c>
      <c r="V101" s="81">
        <v>0</v>
      </c>
      <c r="W101" s="81">
        <v>0</v>
      </c>
      <c r="X101" s="81">
        <v>0</v>
      </c>
      <c r="Y101" s="81">
        <v>0</v>
      </c>
      <c r="Z101" s="81">
        <v>0</v>
      </c>
      <c r="AA101" s="81">
        <v>0</v>
      </c>
      <c r="AB101" s="81"/>
      <c r="AC101" s="81"/>
      <c r="AD101" s="81"/>
    </row>
    <row r="102" spans="1:30">
      <c r="A102" s="19" t="s">
        <v>116</v>
      </c>
      <c r="B102" s="289">
        <v>29.639749999999975</v>
      </c>
      <c r="C102" s="236">
        <v>29.805125000000007</v>
      </c>
      <c r="D102" s="236">
        <v>132.13037499999999</v>
      </c>
      <c r="E102" s="236">
        <v>6.7617499999999975</v>
      </c>
      <c r="F102" s="236">
        <v>4.6384500000000006</v>
      </c>
      <c r="G102" s="236">
        <v>6.1565499999999993</v>
      </c>
      <c r="H102" s="236">
        <v>6.2369999999999965</v>
      </c>
      <c r="I102" s="236">
        <v>5.0750000000000028</v>
      </c>
      <c r="J102" s="236">
        <v>4.0573750000000004</v>
      </c>
      <c r="K102" s="236">
        <v>4.9533749999999994</v>
      </c>
      <c r="L102" s="236">
        <v>14.368375</v>
      </c>
      <c r="M102" s="236"/>
      <c r="N102" s="236"/>
      <c r="O102" s="236"/>
      <c r="P102" s="83"/>
      <c r="Q102" s="288">
        <v>59.444874999999982</v>
      </c>
      <c r="R102" s="83">
        <v>29.805125000000007</v>
      </c>
      <c r="S102" s="83">
        <v>149.68712499999998</v>
      </c>
      <c r="T102" s="83">
        <v>17.556749999999997</v>
      </c>
      <c r="U102" s="83">
        <v>10.795</v>
      </c>
      <c r="V102" s="83">
        <v>6.1565499999999993</v>
      </c>
      <c r="W102" s="83">
        <v>20.322749999999999</v>
      </c>
      <c r="X102" s="83">
        <v>14.085750000000003</v>
      </c>
      <c r="Y102" s="83">
        <v>9.0107499999999998</v>
      </c>
      <c r="Z102" s="83">
        <v>4.9533749999999994</v>
      </c>
      <c r="AA102" s="83">
        <v>14.368375</v>
      </c>
      <c r="AB102" s="83"/>
      <c r="AC102" s="83"/>
      <c r="AD102" s="83"/>
    </row>
    <row r="103" spans="1:30">
      <c r="A103" s="25"/>
      <c r="B103" s="25"/>
      <c r="C103" s="25"/>
      <c r="D103" s="25"/>
      <c r="E103" s="25"/>
      <c r="F103" s="25"/>
      <c r="G103" s="25"/>
      <c r="H103" s="25"/>
      <c r="I103" s="25"/>
      <c r="J103" s="25"/>
      <c r="K103" s="25"/>
      <c r="L103" s="25"/>
      <c r="M103" s="25"/>
      <c r="N103" s="25"/>
      <c r="O103" s="25"/>
      <c r="P103" s="82"/>
      <c r="Q103" s="82"/>
      <c r="R103" s="82"/>
      <c r="S103" s="82"/>
      <c r="T103" s="82"/>
      <c r="U103" s="82"/>
      <c r="V103" s="82"/>
      <c r="W103" s="82"/>
      <c r="X103" s="82"/>
      <c r="Y103" s="82"/>
      <c r="Z103" s="82"/>
      <c r="AA103" s="82"/>
      <c r="AB103" s="82"/>
      <c r="AC103" s="82"/>
      <c r="AD103" s="82"/>
    </row>
    <row r="104" spans="1:30">
      <c r="A104" s="19" t="s">
        <v>43</v>
      </c>
      <c r="B104" s="75" t="s">
        <v>629</v>
      </c>
      <c r="C104" s="75" t="s">
        <v>606</v>
      </c>
      <c r="D104" s="75" t="s">
        <v>593</v>
      </c>
      <c r="E104" s="75" t="s">
        <v>550</v>
      </c>
      <c r="F104" s="75" t="s">
        <v>524</v>
      </c>
      <c r="G104" s="75" t="s">
        <v>513</v>
      </c>
      <c r="H104" s="75" t="s">
        <v>502</v>
      </c>
      <c r="I104" s="75" t="s">
        <v>419</v>
      </c>
      <c r="J104" s="75" t="s">
        <v>401</v>
      </c>
      <c r="K104" s="75" t="s">
        <v>387</v>
      </c>
      <c r="L104" s="75" t="s">
        <v>476</v>
      </c>
      <c r="M104" s="75" t="s">
        <v>477</v>
      </c>
      <c r="N104" s="75" t="s">
        <v>478</v>
      </c>
      <c r="O104" s="75" t="s">
        <v>479</v>
      </c>
      <c r="P104" s="75"/>
      <c r="Q104" s="75" t="s">
        <v>630</v>
      </c>
      <c r="R104" s="75" t="s">
        <v>607</v>
      </c>
      <c r="S104" s="75" t="s">
        <v>594</v>
      </c>
      <c r="T104" s="75" t="s">
        <v>551</v>
      </c>
      <c r="U104" s="75" t="s">
        <v>525</v>
      </c>
      <c r="V104" s="75" t="s">
        <v>514</v>
      </c>
      <c r="W104" s="75" t="s">
        <v>503</v>
      </c>
      <c r="X104" s="75" t="s">
        <v>420</v>
      </c>
      <c r="Y104" s="75" t="s">
        <v>402</v>
      </c>
      <c r="Z104" s="75" t="s">
        <v>388</v>
      </c>
      <c r="AA104" s="75" t="s">
        <v>715</v>
      </c>
      <c r="AB104" s="75" t="s">
        <v>716</v>
      </c>
      <c r="AC104" s="75" t="s">
        <v>717</v>
      </c>
      <c r="AD104" s="75" t="s">
        <v>718</v>
      </c>
    </row>
    <row r="105" spans="1:30">
      <c r="A105" s="21" t="s">
        <v>592</v>
      </c>
      <c r="B105" s="21"/>
      <c r="C105" s="21"/>
      <c r="D105" s="21"/>
      <c r="E105" s="21"/>
      <c r="F105" s="21"/>
      <c r="G105" s="21"/>
      <c r="H105" s="21"/>
      <c r="I105" s="21"/>
      <c r="J105" s="21"/>
      <c r="K105" s="21"/>
      <c r="L105" s="21"/>
      <c r="M105" s="21"/>
      <c r="N105" s="21"/>
      <c r="O105" s="21"/>
      <c r="P105" s="85"/>
      <c r="Q105" s="85"/>
      <c r="R105" s="85"/>
      <c r="S105" s="85"/>
      <c r="T105" s="85"/>
      <c r="U105" s="85"/>
      <c r="V105" s="85"/>
      <c r="W105" s="85"/>
      <c r="X105" s="85"/>
      <c r="Y105" s="85"/>
      <c r="Z105" s="85"/>
      <c r="AA105" s="85"/>
      <c r="AB105" s="85"/>
      <c r="AC105" s="85"/>
      <c r="AD105" s="85"/>
    </row>
    <row r="106" spans="1:30">
      <c r="A106" s="38" t="s">
        <v>44</v>
      </c>
      <c r="B106" s="179">
        <v>0</v>
      </c>
      <c r="C106" s="77">
        <v>0</v>
      </c>
      <c r="D106" s="77">
        <v>-94.191999999999993</v>
      </c>
      <c r="E106" s="77">
        <v>30.791999999999994</v>
      </c>
      <c r="F106" s="77">
        <v>31.971999999999998</v>
      </c>
      <c r="G106" s="77">
        <v>31.428000000000001</v>
      </c>
      <c r="H106" s="77">
        <v>33.230000000000004</v>
      </c>
      <c r="I106" s="77">
        <v>32.686</v>
      </c>
      <c r="J106" s="77">
        <v>30.214000000000002</v>
      </c>
      <c r="K106" s="77">
        <v>26.876999999999999</v>
      </c>
      <c r="L106" s="77">
        <v>22.811</v>
      </c>
      <c r="M106" s="77">
        <v>12.125000000000002</v>
      </c>
      <c r="N106" s="77">
        <v>8.2189999999999994</v>
      </c>
      <c r="O106" s="77">
        <v>2.0150000000000001</v>
      </c>
      <c r="P106" s="81"/>
      <c r="Q106" s="287">
        <v>0</v>
      </c>
      <c r="R106" s="81">
        <v>0</v>
      </c>
      <c r="S106" s="81">
        <v>0</v>
      </c>
      <c r="T106" s="81">
        <v>94.191999999999993</v>
      </c>
      <c r="U106" s="81">
        <v>63.4</v>
      </c>
      <c r="V106" s="81">
        <v>31.428000000000001</v>
      </c>
      <c r="W106" s="81">
        <v>123.00700000000001</v>
      </c>
      <c r="X106" s="81">
        <v>89.777000000000001</v>
      </c>
      <c r="Y106" s="81">
        <v>57.091000000000001</v>
      </c>
      <c r="Z106" s="81">
        <v>26.876999999999999</v>
      </c>
      <c r="AA106" s="81">
        <v>45.17</v>
      </c>
      <c r="AB106" s="81">
        <v>22.359000000000002</v>
      </c>
      <c r="AC106" s="81">
        <v>10.234</v>
      </c>
      <c r="AD106" s="81">
        <v>2.0150000000000001</v>
      </c>
    </row>
    <row r="107" spans="1:30">
      <c r="A107" s="38" t="s">
        <v>109</v>
      </c>
      <c r="B107" s="179">
        <v>0</v>
      </c>
      <c r="C107" s="77">
        <v>0</v>
      </c>
      <c r="D107" s="77">
        <v>-34.534999999999997</v>
      </c>
      <c r="E107" s="77">
        <v>11.228999999999996</v>
      </c>
      <c r="F107" s="77">
        <v>11.949000000000002</v>
      </c>
      <c r="G107" s="77">
        <v>11.356999999999999</v>
      </c>
      <c r="H107" s="77">
        <v>12.353999999999999</v>
      </c>
      <c r="I107" s="77">
        <v>11.526000000000003</v>
      </c>
      <c r="J107" s="77">
        <v>13.548999999999999</v>
      </c>
      <c r="K107" s="77">
        <v>12.988</v>
      </c>
      <c r="L107" s="77">
        <v>14.397999999999996</v>
      </c>
      <c r="M107" s="77">
        <v>13.388000000000002</v>
      </c>
      <c r="N107" s="77">
        <v>15.015000000000001</v>
      </c>
      <c r="O107" s="77">
        <v>12.913</v>
      </c>
      <c r="P107" s="81"/>
      <c r="Q107" s="287">
        <v>0</v>
      </c>
      <c r="R107" s="81">
        <v>0</v>
      </c>
      <c r="S107" s="81">
        <v>0</v>
      </c>
      <c r="T107" s="81">
        <v>34.534999999999997</v>
      </c>
      <c r="U107" s="81">
        <v>23.306000000000001</v>
      </c>
      <c r="V107" s="81">
        <v>11.356999999999999</v>
      </c>
      <c r="W107" s="81">
        <v>50.417000000000002</v>
      </c>
      <c r="X107" s="81">
        <v>38.063000000000002</v>
      </c>
      <c r="Y107" s="81">
        <v>26.536999999999999</v>
      </c>
      <c r="Z107" s="81">
        <v>12.988</v>
      </c>
      <c r="AA107" s="81">
        <v>55.713999999999999</v>
      </c>
      <c r="AB107" s="81">
        <v>41.316000000000003</v>
      </c>
      <c r="AC107" s="81">
        <v>27.928000000000001</v>
      </c>
      <c r="AD107" s="81">
        <v>12.913</v>
      </c>
    </row>
    <row r="108" spans="1:30">
      <c r="A108" s="38" t="s">
        <v>46</v>
      </c>
      <c r="B108" s="179">
        <v>0</v>
      </c>
      <c r="C108" s="77">
        <v>0</v>
      </c>
      <c r="D108" s="77">
        <v>-4.7229999999999999</v>
      </c>
      <c r="E108" s="77">
        <v>1.5779999999999998</v>
      </c>
      <c r="F108" s="77">
        <v>1.706</v>
      </c>
      <c r="G108" s="77">
        <v>1.4390000000000001</v>
      </c>
      <c r="H108" s="77">
        <v>1.4710000000000005</v>
      </c>
      <c r="I108" s="77">
        <v>1.1949999999999998</v>
      </c>
      <c r="J108" s="77">
        <v>1.3879999999999999</v>
      </c>
      <c r="K108" s="77">
        <v>1.306</v>
      </c>
      <c r="L108" s="77">
        <v>1.6059999999999999</v>
      </c>
      <c r="M108" s="77">
        <v>1.2789999999999999</v>
      </c>
      <c r="N108" s="77">
        <v>1.5609999999999999</v>
      </c>
      <c r="O108" s="77">
        <v>1.5720000000000001</v>
      </c>
      <c r="P108" s="81"/>
      <c r="Q108" s="287">
        <v>0</v>
      </c>
      <c r="R108" s="81">
        <v>0</v>
      </c>
      <c r="S108" s="81">
        <v>0</v>
      </c>
      <c r="T108" s="81">
        <v>4.7229999999999999</v>
      </c>
      <c r="U108" s="81">
        <v>3.145</v>
      </c>
      <c r="V108" s="81">
        <v>1.4390000000000001</v>
      </c>
      <c r="W108" s="81">
        <v>5.36</v>
      </c>
      <c r="X108" s="81">
        <v>3.8889999999999998</v>
      </c>
      <c r="Y108" s="81">
        <v>2.694</v>
      </c>
      <c r="Z108" s="81">
        <v>1.306</v>
      </c>
      <c r="AA108" s="81">
        <v>6.0179999999999998</v>
      </c>
      <c r="AB108" s="81">
        <v>4.4119999999999999</v>
      </c>
      <c r="AC108" s="81">
        <v>3.133</v>
      </c>
      <c r="AD108" s="81">
        <v>1.5720000000000001</v>
      </c>
    </row>
    <row r="109" spans="1:30">
      <c r="A109" s="19" t="s">
        <v>47</v>
      </c>
      <c r="B109" s="289">
        <v>0</v>
      </c>
      <c r="C109" s="236">
        <v>0</v>
      </c>
      <c r="D109" s="236">
        <v>-133.44999999999999</v>
      </c>
      <c r="E109" s="236">
        <v>43.59899999999999</v>
      </c>
      <c r="F109" s="236">
        <v>45.627000000000002</v>
      </c>
      <c r="G109" s="236">
        <v>44.223999999999997</v>
      </c>
      <c r="H109" s="236">
        <v>47.055000000000007</v>
      </c>
      <c r="I109" s="236">
        <v>45.407000000000011</v>
      </c>
      <c r="J109" s="236">
        <v>45.15100000000001</v>
      </c>
      <c r="K109" s="236">
        <v>41.170999999999992</v>
      </c>
      <c r="L109" s="236">
        <v>38.814999999999998</v>
      </c>
      <c r="M109" s="236">
        <v>26.792000000000002</v>
      </c>
      <c r="N109" s="236">
        <v>24.795000000000002</v>
      </c>
      <c r="O109" s="236">
        <v>16.5</v>
      </c>
      <c r="P109" s="83"/>
      <c r="Q109" s="288">
        <v>0</v>
      </c>
      <c r="R109" s="83">
        <v>0</v>
      </c>
      <c r="S109" s="83">
        <v>0</v>
      </c>
      <c r="T109" s="83">
        <v>133.44999999999999</v>
      </c>
      <c r="U109" s="83">
        <v>89.850999999999999</v>
      </c>
      <c r="V109" s="83">
        <v>44.223999999999997</v>
      </c>
      <c r="W109" s="83">
        <v>178.78400000000002</v>
      </c>
      <c r="X109" s="83">
        <v>131.72900000000001</v>
      </c>
      <c r="Y109" s="83">
        <v>86.322000000000003</v>
      </c>
      <c r="Z109" s="83">
        <v>41.170999999999992</v>
      </c>
      <c r="AA109" s="83">
        <v>106.902</v>
      </c>
      <c r="AB109" s="83">
        <v>68.087000000000003</v>
      </c>
      <c r="AC109" s="83">
        <v>41.295000000000002</v>
      </c>
      <c r="AD109" s="83">
        <v>16.5</v>
      </c>
    </row>
    <row r="110" spans="1:30">
      <c r="A110" s="19" t="s">
        <v>50</v>
      </c>
      <c r="B110" s="289">
        <v>0</v>
      </c>
      <c r="C110" s="236">
        <v>0</v>
      </c>
      <c r="D110" s="236">
        <v>23.555</v>
      </c>
      <c r="E110" s="236">
        <v>-7.7490000000000006</v>
      </c>
      <c r="F110" s="236">
        <v>-7.6259999999999994</v>
      </c>
      <c r="G110" s="236">
        <v>-8.18</v>
      </c>
      <c r="H110" s="236">
        <v>-8.8530000000000015</v>
      </c>
      <c r="I110" s="236">
        <v>-7.8299999999999983</v>
      </c>
      <c r="J110" s="236">
        <v>-6.9770000000000003</v>
      </c>
      <c r="K110" s="236">
        <v>-8.3979999999999997</v>
      </c>
      <c r="L110" s="236">
        <v>-8.2569999999999979</v>
      </c>
      <c r="M110" s="236">
        <v>-7.0320000000000018</v>
      </c>
      <c r="N110" s="236">
        <v>-7.0709999999999997</v>
      </c>
      <c r="O110" s="236">
        <v>-7.4969999999999999</v>
      </c>
      <c r="P110" s="83"/>
      <c r="Q110" s="288">
        <v>0</v>
      </c>
      <c r="R110" s="83">
        <v>0</v>
      </c>
      <c r="S110" s="83">
        <v>0</v>
      </c>
      <c r="T110" s="83">
        <v>-23.555</v>
      </c>
      <c r="U110" s="83">
        <v>-15.805999999999999</v>
      </c>
      <c r="V110" s="83">
        <v>-8.18</v>
      </c>
      <c r="W110" s="83">
        <v>-32.058</v>
      </c>
      <c r="X110" s="83">
        <v>-23.204999999999998</v>
      </c>
      <c r="Y110" s="83">
        <v>-15.375</v>
      </c>
      <c r="Z110" s="83">
        <v>-8.3979999999999997</v>
      </c>
      <c r="AA110" s="83">
        <v>-29.856999999999999</v>
      </c>
      <c r="AB110" s="83">
        <v>-21.6</v>
      </c>
      <c r="AC110" s="83">
        <v>-14.568</v>
      </c>
      <c r="AD110" s="83">
        <v>-7.4969999999999999</v>
      </c>
    </row>
    <row r="111" spans="1:30">
      <c r="A111" s="19" t="s">
        <v>110</v>
      </c>
      <c r="B111" s="289">
        <v>0</v>
      </c>
      <c r="C111" s="236">
        <v>0</v>
      </c>
      <c r="D111" s="236">
        <v>-109.89499999999998</v>
      </c>
      <c r="E111" s="236">
        <v>35.84999999999998</v>
      </c>
      <c r="F111" s="236">
        <v>38.001000000000005</v>
      </c>
      <c r="G111" s="236">
        <v>36.043999999999997</v>
      </c>
      <c r="H111" s="236">
        <v>38.202000000000012</v>
      </c>
      <c r="I111" s="236">
        <v>37.577000000000012</v>
      </c>
      <c r="J111" s="236">
        <v>38.174000000000007</v>
      </c>
      <c r="K111" s="236">
        <v>32.772999999999996</v>
      </c>
      <c r="L111" s="236">
        <v>30.558</v>
      </c>
      <c r="M111" s="236">
        <v>19.759999999999998</v>
      </c>
      <c r="N111" s="236">
        <v>17.724000000000004</v>
      </c>
      <c r="O111" s="236">
        <v>9.0030000000000001</v>
      </c>
      <c r="P111" s="83"/>
      <c r="Q111" s="288">
        <v>0</v>
      </c>
      <c r="R111" s="83">
        <v>0</v>
      </c>
      <c r="S111" s="83">
        <v>0</v>
      </c>
      <c r="T111" s="83">
        <v>109.89499999999998</v>
      </c>
      <c r="U111" s="83">
        <v>74.045000000000002</v>
      </c>
      <c r="V111" s="83">
        <v>36.043999999999997</v>
      </c>
      <c r="W111" s="83">
        <v>146.72600000000003</v>
      </c>
      <c r="X111" s="83">
        <v>108.52400000000002</v>
      </c>
      <c r="Y111" s="83">
        <v>70.947000000000003</v>
      </c>
      <c r="Z111" s="83">
        <v>32.772999999999996</v>
      </c>
      <c r="AA111" s="83">
        <v>77.045000000000002</v>
      </c>
      <c r="AB111" s="83">
        <v>46.487000000000002</v>
      </c>
      <c r="AC111" s="83">
        <v>26.727000000000004</v>
      </c>
      <c r="AD111" s="83">
        <v>9.0030000000000001</v>
      </c>
    </row>
    <row r="112" spans="1:30" ht="27" customHeight="1">
      <c r="A112" s="79" t="s">
        <v>459</v>
      </c>
      <c r="B112" s="179">
        <v>0</v>
      </c>
      <c r="C112" s="77">
        <v>0</v>
      </c>
      <c r="D112" s="77">
        <v>0.60499999999999998</v>
      </c>
      <c r="E112" s="77">
        <v>-0.31900000000000001</v>
      </c>
      <c r="F112" s="77">
        <v>-0.17699999999999999</v>
      </c>
      <c r="G112" s="77">
        <v>-0.109</v>
      </c>
      <c r="H112" s="77">
        <v>0.13600000000000001</v>
      </c>
      <c r="I112" s="77">
        <v>-0.34199999999999997</v>
      </c>
      <c r="J112" s="77">
        <v>0.54900000000000004</v>
      </c>
      <c r="K112" s="77">
        <v>-0.64900000000000002</v>
      </c>
      <c r="L112" s="77">
        <v>5.0000000000000044E-3</v>
      </c>
      <c r="M112" s="77">
        <v>0.48699999999999999</v>
      </c>
      <c r="N112" s="77">
        <v>-0.66500000000000004</v>
      </c>
      <c r="O112" s="77">
        <v>0.77600000000000002</v>
      </c>
      <c r="P112" s="81"/>
      <c r="Q112" s="287">
        <v>0</v>
      </c>
      <c r="R112" s="81">
        <v>0</v>
      </c>
      <c r="S112" s="81">
        <v>0</v>
      </c>
      <c r="T112" s="81">
        <v>-0.60499999999999998</v>
      </c>
      <c r="U112" s="81">
        <v>-0.28599999999999998</v>
      </c>
      <c r="V112" s="81">
        <v>-0.109</v>
      </c>
      <c r="W112" s="81">
        <v>-0.30599999999999999</v>
      </c>
      <c r="X112" s="81">
        <v>-0.442</v>
      </c>
      <c r="Y112" s="81">
        <v>-0.1</v>
      </c>
      <c r="Z112" s="81">
        <v>-0.64900000000000002</v>
      </c>
      <c r="AA112" s="81">
        <v>0.60299999999999998</v>
      </c>
      <c r="AB112" s="81">
        <v>0.59799999999999998</v>
      </c>
      <c r="AC112" s="81">
        <v>0.111</v>
      </c>
      <c r="AD112" s="81">
        <v>0.77600000000000002</v>
      </c>
    </row>
    <row r="113" spans="1:30">
      <c r="A113" s="38" t="s">
        <v>111</v>
      </c>
      <c r="B113" s="179">
        <v>0</v>
      </c>
      <c r="C113" s="77">
        <v>0</v>
      </c>
      <c r="D113" s="77">
        <v>0</v>
      </c>
      <c r="E113" s="77">
        <v>0</v>
      </c>
      <c r="F113" s="77">
        <v>0</v>
      </c>
      <c r="G113" s="77">
        <v>0</v>
      </c>
      <c r="H113" s="77">
        <v>0</v>
      </c>
      <c r="I113" s="77">
        <v>0</v>
      </c>
      <c r="J113" s="77">
        <v>0</v>
      </c>
      <c r="K113" s="77">
        <v>0</v>
      </c>
      <c r="L113" s="77">
        <v>0</v>
      </c>
      <c r="M113" s="77">
        <v>0</v>
      </c>
      <c r="N113" s="77">
        <v>0</v>
      </c>
      <c r="O113" s="77">
        <v>0</v>
      </c>
      <c r="P113" s="81"/>
      <c r="Q113" s="287">
        <v>0</v>
      </c>
      <c r="R113" s="81">
        <v>0</v>
      </c>
      <c r="S113" s="81">
        <v>0</v>
      </c>
      <c r="T113" s="81">
        <v>0</v>
      </c>
      <c r="U113" s="81">
        <v>0</v>
      </c>
      <c r="V113" s="81">
        <v>0</v>
      </c>
      <c r="W113" s="81">
        <v>0</v>
      </c>
      <c r="X113" s="81">
        <v>0</v>
      </c>
      <c r="Y113" s="81">
        <v>0</v>
      </c>
      <c r="Z113" s="81">
        <v>0</v>
      </c>
      <c r="AA113" s="81">
        <v>0</v>
      </c>
      <c r="AB113" s="81">
        <v>0</v>
      </c>
      <c r="AC113" s="81">
        <v>0</v>
      </c>
      <c r="AD113" s="81">
        <v>0</v>
      </c>
    </row>
    <row r="114" spans="1:30">
      <c r="A114" s="38" t="s">
        <v>112</v>
      </c>
      <c r="B114" s="179">
        <v>0</v>
      </c>
      <c r="C114" s="77">
        <v>0</v>
      </c>
      <c r="D114" s="77">
        <v>0</v>
      </c>
      <c r="E114" s="77">
        <v>0</v>
      </c>
      <c r="F114" s="77">
        <v>0</v>
      </c>
      <c r="G114" s="77">
        <v>0</v>
      </c>
      <c r="H114" s="77">
        <v>0</v>
      </c>
      <c r="I114" s="77">
        <v>0</v>
      </c>
      <c r="J114" s="77">
        <v>0</v>
      </c>
      <c r="K114" s="77">
        <v>0</v>
      </c>
      <c r="L114" s="77">
        <v>0</v>
      </c>
      <c r="M114" s="77">
        <v>0</v>
      </c>
      <c r="N114" s="77">
        <v>0</v>
      </c>
      <c r="O114" s="77">
        <v>0</v>
      </c>
      <c r="P114" s="81"/>
      <c r="Q114" s="287">
        <v>0</v>
      </c>
      <c r="R114" s="81">
        <v>0</v>
      </c>
      <c r="S114" s="81">
        <v>0</v>
      </c>
      <c r="T114" s="81">
        <v>0</v>
      </c>
      <c r="U114" s="81">
        <v>0</v>
      </c>
      <c r="V114" s="81">
        <v>0</v>
      </c>
      <c r="W114" s="81">
        <v>0</v>
      </c>
      <c r="X114" s="81">
        <v>0</v>
      </c>
      <c r="Y114" s="81">
        <v>0</v>
      </c>
      <c r="Z114" s="81">
        <v>0</v>
      </c>
      <c r="AA114" s="81">
        <v>0</v>
      </c>
      <c r="AB114" s="81">
        <v>0</v>
      </c>
      <c r="AC114" s="81">
        <v>0</v>
      </c>
      <c r="AD114" s="81">
        <v>0</v>
      </c>
    </row>
    <row r="115" spans="1:30">
      <c r="A115" s="38" t="s">
        <v>113</v>
      </c>
      <c r="B115" s="179">
        <v>0</v>
      </c>
      <c r="C115" s="77">
        <v>0</v>
      </c>
      <c r="D115" s="77">
        <v>0</v>
      </c>
      <c r="E115" s="77">
        <v>0</v>
      </c>
      <c r="F115" s="77">
        <v>0</v>
      </c>
      <c r="G115" s="77">
        <v>0</v>
      </c>
      <c r="H115" s="77">
        <v>0</v>
      </c>
      <c r="I115" s="77">
        <v>0</v>
      </c>
      <c r="J115" s="77">
        <v>0</v>
      </c>
      <c r="K115" s="77">
        <v>0</v>
      </c>
      <c r="L115" s="77">
        <v>0</v>
      </c>
      <c r="M115" s="77">
        <v>0</v>
      </c>
      <c r="N115" s="77">
        <v>0</v>
      </c>
      <c r="O115" s="77">
        <v>0</v>
      </c>
      <c r="P115" s="81"/>
      <c r="Q115" s="287">
        <v>0</v>
      </c>
      <c r="R115" s="81">
        <v>0</v>
      </c>
      <c r="S115" s="81">
        <v>0</v>
      </c>
      <c r="T115" s="81">
        <v>0</v>
      </c>
      <c r="U115" s="81">
        <v>0</v>
      </c>
      <c r="V115" s="81">
        <v>0</v>
      </c>
      <c r="W115" s="81">
        <v>0</v>
      </c>
      <c r="X115" s="81">
        <v>0</v>
      </c>
      <c r="Y115" s="81">
        <v>0</v>
      </c>
      <c r="Z115" s="81">
        <v>0</v>
      </c>
      <c r="AA115" s="81">
        <v>0</v>
      </c>
      <c r="AB115" s="81">
        <v>0</v>
      </c>
      <c r="AC115" s="81">
        <v>0</v>
      </c>
      <c r="AD115" s="81">
        <v>0</v>
      </c>
    </row>
    <row r="116" spans="1:30">
      <c r="A116" s="19" t="s">
        <v>114</v>
      </c>
      <c r="B116" s="289">
        <v>0</v>
      </c>
      <c r="C116" s="236">
        <v>0</v>
      </c>
      <c r="D116" s="236">
        <v>-109.28999999999998</v>
      </c>
      <c r="E116" s="236">
        <v>35.530999999999977</v>
      </c>
      <c r="F116" s="236">
        <v>37.824000000000005</v>
      </c>
      <c r="G116" s="236">
        <v>35.934999999999995</v>
      </c>
      <c r="H116" s="236">
        <v>38.337999999999994</v>
      </c>
      <c r="I116" s="236">
        <v>37.235000000000014</v>
      </c>
      <c r="J116" s="236">
        <v>38.723000000000013</v>
      </c>
      <c r="K116" s="236">
        <v>32.123999999999995</v>
      </c>
      <c r="L116" s="236">
        <v>30.562999999999995</v>
      </c>
      <c r="M116" s="236">
        <v>20.246999999999996</v>
      </c>
      <c r="N116" s="236">
        <v>17.059000000000005</v>
      </c>
      <c r="O116" s="236">
        <v>9.7789999999999999</v>
      </c>
      <c r="P116" s="83"/>
      <c r="Q116" s="288">
        <v>0</v>
      </c>
      <c r="R116" s="83">
        <v>0</v>
      </c>
      <c r="S116" s="83">
        <v>0</v>
      </c>
      <c r="T116" s="83">
        <v>109.28999999999998</v>
      </c>
      <c r="U116" s="83">
        <v>73.759</v>
      </c>
      <c r="V116" s="83">
        <v>35.934999999999995</v>
      </c>
      <c r="W116" s="83">
        <v>146.42000000000002</v>
      </c>
      <c r="X116" s="83">
        <v>108.08200000000002</v>
      </c>
      <c r="Y116" s="83">
        <v>70.847000000000008</v>
      </c>
      <c r="Z116" s="83">
        <v>32.123999999999995</v>
      </c>
      <c r="AA116" s="83">
        <v>77.647999999999996</v>
      </c>
      <c r="AB116" s="83">
        <v>47.085000000000001</v>
      </c>
      <c r="AC116" s="83">
        <v>26.838000000000005</v>
      </c>
      <c r="AD116" s="83">
        <v>9.7789999999999999</v>
      </c>
    </row>
    <row r="117" spans="1:30">
      <c r="A117" s="38" t="s">
        <v>55</v>
      </c>
      <c r="B117" s="179">
        <v>0</v>
      </c>
      <c r="C117" s="77">
        <v>0</v>
      </c>
      <c r="D117" s="77">
        <v>16.393499999999996</v>
      </c>
      <c r="E117" s="77">
        <v>-5.3296499999999956</v>
      </c>
      <c r="F117" s="77">
        <v>-5.6736000000000013</v>
      </c>
      <c r="G117" s="77">
        <v>-5.3902499999999991</v>
      </c>
      <c r="H117" s="77">
        <v>-4.7922499999999992</v>
      </c>
      <c r="I117" s="77">
        <v>-4.6543750000000017</v>
      </c>
      <c r="J117" s="77">
        <v>-4.8403750000000016</v>
      </c>
      <c r="K117" s="77">
        <v>-4.0154999999999994</v>
      </c>
      <c r="L117" s="77">
        <v>-3.8203749999999994</v>
      </c>
      <c r="M117" s="77">
        <v>-2.5308749999999995</v>
      </c>
      <c r="N117" s="77">
        <v>-2.1323750000000006</v>
      </c>
      <c r="O117" s="77">
        <v>-1.222375</v>
      </c>
      <c r="P117" s="81"/>
      <c r="Q117" s="287">
        <v>0</v>
      </c>
      <c r="R117" s="81">
        <v>0</v>
      </c>
      <c r="S117" s="81">
        <v>0</v>
      </c>
      <c r="T117" s="81">
        <v>-16.393499999999996</v>
      </c>
      <c r="U117" s="81">
        <v>-11.06385</v>
      </c>
      <c r="V117" s="81">
        <v>-5.3902499999999991</v>
      </c>
      <c r="W117" s="81">
        <v>-18.302500000000002</v>
      </c>
      <c r="X117" s="81">
        <v>-13.510250000000003</v>
      </c>
      <c r="Y117" s="81">
        <v>-8.8558750000000011</v>
      </c>
      <c r="Z117" s="81">
        <v>-4.0154999999999994</v>
      </c>
      <c r="AA117" s="81">
        <v>-9.7059999999999995</v>
      </c>
      <c r="AB117" s="81">
        <v>-5.8856250000000001</v>
      </c>
      <c r="AC117" s="81">
        <v>-3.3547500000000006</v>
      </c>
      <c r="AD117" s="81">
        <v>-1.222375</v>
      </c>
    </row>
    <row r="118" spans="1:30">
      <c r="A118" s="38" t="s">
        <v>115</v>
      </c>
      <c r="B118" s="179">
        <v>0</v>
      </c>
      <c r="C118" s="77">
        <v>0</v>
      </c>
      <c r="D118" s="77">
        <v>0</v>
      </c>
      <c r="E118" s="77">
        <v>0</v>
      </c>
      <c r="F118" s="77">
        <v>0</v>
      </c>
      <c r="G118" s="77">
        <v>0</v>
      </c>
      <c r="H118" s="77">
        <v>0</v>
      </c>
      <c r="I118" s="77">
        <v>0</v>
      </c>
      <c r="J118" s="77">
        <v>0</v>
      </c>
      <c r="K118" s="77">
        <v>0</v>
      </c>
      <c r="L118" s="77">
        <v>0</v>
      </c>
      <c r="M118" s="77">
        <v>0</v>
      </c>
      <c r="N118" s="77">
        <v>0</v>
      </c>
      <c r="O118" s="77">
        <v>0</v>
      </c>
      <c r="P118" s="81"/>
      <c r="Q118" s="287">
        <v>0</v>
      </c>
      <c r="R118" s="81">
        <v>0</v>
      </c>
      <c r="S118" s="81">
        <v>0</v>
      </c>
      <c r="T118" s="81">
        <v>0</v>
      </c>
      <c r="U118" s="81">
        <v>0</v>
      </c>
      <c r="V118" s="81">
        <v>0</v>
      </c>
      <c r="W118" s="81">
        <v>0</v>
      </c>
      <c r="X118" s="81">
        <v>0</v>
      </c>
      <c r="Y118" s="81">
        <v>0</v>
      </c>
      <c r="Z118" s="81">
        <v>0</v>
      </c>
      <c r="AA118" s="81">
        <v>0</v>
      </c>
      <c r="AB118" s="81">
        <v>0</v>
      </c>
      <c r="AC118" s="81">
        <v>0</v>
      </c>
      <c r="AD118" s="81">
        <v>0</v>
      </c>
    </row>
    <row r="119" spans="1:30">
      <c r="A119" s="19" t="s">
        <v>116</v>
      </c>
      <c r="B119" s="289">
        <v>0</v>
      </c>
      <c r="C119" s="236">
        <v>0</v>
      </c>
      <c r="D119" s="236">
        <v>-92.896499999999975</v>
      </c>
      <c r="E119" s="236">
        <v>30.201349999999977</v>
      </c>
      <c r="F119" s="236">
        <v>32.150400000000005</v>
      </c>
      <c r="G119" s="236">
        <v>30.544749999999997</v>
      </c>
      <c r="H119" s="236">
        <v>33.545749999999984</v>
      </c>
      <c r="I119" s="236">
        <v>32.580625000000012</v>
      </c>
      <c r="J119" s="236">
        <v>33.882625000000019</v>
      </c>
      <c r="K119" s="236">
        <v>28.108499999999996</v>
      </c>
      <c r="L119" s="236">
        <v>26.74262499999999</v>
      </c>
      <c r="M119" s="236">
        <v>17.716124999999998</v>
      </c>
      <c r="N119" s="236">
        <v>14.926625000000005</v>
      </c>
      <c r="O119" s="236">
        <v>8.5566250000000004</v>
      </c>
      <c r="P119" s="83"/>
      <c r="Q119" s="288">
        <v>0</v>
      </c>
      <c r="R119" s="83">
        <v>0</v>
      </c>
      <c r="S119" s="83">
        <v>0</v>
      </c>
      <c r="T119" s="83">
        <v>92.896499999999975</v>
      </c>
      <c r="U119" s="83">
        <v>62.695149999999998</v>
      </c>
      <c r="V119" s="83">
        <v>30.544749999999997</v>
      </c>
      <c r="W119" s="83">
        <v>128.11750000000001</v>
      </c>
      <c r="X119" s="83">
        <v>94.571750000000023</v>
      </c>
      <c r="Y119" s="83">
        <v>61.991125000000011</v>
      </c>
      <c r="Z119" s="83">
        <v>28.108499999999996</v>
      </c>
      <c r="AA119" s="83">
        <v>67.941999999999993</v>
      </c>
      <c r="AB119" s="83">
        <v>41.199375000000003</v>
      </c>
      <c r="AC119" s="83">
        <v>23.483250000000005</v>
      </c>
      <c r="AD119" s="83">
        <v>8.5566250000000004</v>
      </c>
    </row>
    <row r="120" spans="1:30">
      <c r="A120" s="24"/>
      <c r="B120" s="24"/>
      <c r="C120" s="24"/>
      <c r="D120" s="24"/>
      <c r="E120" s="24"/>
      <c r="F120" s="24"/>
      <c r="G120" s="24"/>
      <c r="H120" s="24"/>
      <c r="I120" s="24"/>
      <c r="J120" s="24"/>
      <c r="K120" s="24"/>
      <c r="L120" s="24"/>
      <c r="M120" s="24"/>
      <c r="N120" s="24"/>
      <c r="O120" s="24"/>
      <c r="P120" s="86"/>
      <c r="Q120" s="86"/>
      <c r="R120" s="86"/>
      <c r="S120" s="86"/>
      <c r="T120" s="86"/>
      <c r="U120" s="86"/>
      <c r="V120" s="86"/>
      <c r="W120" s="86"/>
      <c r="X120" s="86"/>
      <c r="Y120" s="86"/>
      <c r="Z120" s="86"/>
      <c r="AA120" s="86"/>
      <c r="AB120" s="86"/>
      <c r="AC120" s="86"/>
      <c r="AD120" s="86"/>
    </row>
    <row r="121" spans="1:30">
      <c r="A121" s="19" t="s">
        <v>43</v>
      </c>
      <c r="B121" s="75" t="s">
        <v>629</v>
      </c>
      <c r="C121" s="75" t="s">
        <v>606</v>
      </c>
      <c r="D121" s="75" t="s">
        <v>593</v>
      </c>
      <c r="E121" s="75" t="s">
        <v>550</v>
      </c>
      <c r="F121" s="75" t="s">
        <v>524</v>
      </c>
      <c r="G121" s="75" t="s">
        <v>513</v>
      </c>
      <c r="H121" s="75" t="s">
        <v>502</v>
      </c>
      <c r="I121" s="75" t="s">
        <v>419</v>
      </c>
      <c r="J121" s="75" t="s">
        <v>401</v>
      </c>
      <c r="K121" s="75" t="s">
        <v>387</v>
      </c>
      <c r="L121" s="75" t="s">
        <v>476</v>
      </c>
      <c r="M121" s="75" t="s">
        <v>477</v>
      </c>
      <c r="N121" s="75" t="s">
        <v>478</v>
      </c>
      <c r="O121" s="75" t="s">
        <v>479</v>
      </c>
      <c r="P121" s="75"/>
      <c r="Q121" s="75" t="s">
        <v>630</v>
      </c>
      <c r="R121" s="75" t="s">
        <v>607</v>
      </c>
      <c r="S121" s="75" t="s">
        <v>594</v>
      </c>
      <c r="T121" s="75" t="s">
        <v>551</v>
      </c>
      <c r="U121" s="75" t="s">
        <v>525</v>
      </c>
      <c r="V121" s="75" t="s">
        <v>514</v>
      </c>
      <c r="W121" s="75" t="s">
        <v>503</v>
      </c>
      <c r="X121" s="75" t="s">
        <v>420</v>
      </c>
      <c r="Y121" s="75" t="s">
        <v>402</v>
      </c>
      <c r="Z121" s="75" t="s">
        <v>388</v>
      </c>
      <c r="AA121" s="75" t="s">
        <v>715</v>
      </c>
      <c r="AB121" s="75" t="s">
        <v>716</v>
      </c>
      <c r="AC121" s="75" t="s">
        <v>717</v>
      </c>
      <c r="AD121" s="75" t="s">
        <v>718</v>
      </c>
    </row>
    <row r="122" spans="1:30">
      <c r="A122" s="21" t="s">
        <v>690</v>
      </c>
      <c r="B122" s="21"/>
      <c r="C122" s="21"/>
      <c r="D122" s="21"/>
      <c r="E122" s="21"/>
      <c r="F122" s="21"/>
      <c r="G122" s="21"/>
      <c r="H122" s="21"/>
      <c r="I122" s="21"/>
      <c r="J122" s="21"/>
      <c r="K122" s="21"/>
      <c r="L122" s="21"/>
      <c r="M122" s="21"/>
      <c r="N122" s="21"/>
      <c r="O122" s="21"/>
      <c r="P122" s="85"/>
      <c r="Q122" s="85"/>
      <c r="R122" s="85"/>
      <c r="S122" s="85"/>
      <c r="T122" s="85"/>
      <c r="U122" s="85"/>
      <c r="V122" s="85"/>
      <c r="W122" s="85"/>
      <c r="X122" s="85"/>
      <c r="Y122" s="85"/>
      <c r="Z122" s="85"/>
      <c r="AA122" s="85"/>
      <c r="AB122" s="85"/>
      <c r="AC122" s="85"/>
      <c r="AD122" s="85"/>
    </row>
    <row r="123" spans="1:30">
      <c r="A123" s="38" t="s">
        <v>44</v>
      </c>
      <c r="B123" s="179">
        <v>0</v>
      </c>
      <c r="C123" s="77">
        <v>0</v>
      </c>
      <c r="D123" s="77">
        <v>0</v>
      </c>
      <c r="E123" s="77">
        <v>0</v>
      </c>
      <c r="F123" s="77">
        <v>0</v>
      </c>
      <c r="G123" s="77">
        <v>0</v>
      </c>
      <c r="H123" s="77">
        <v>4.5100000000000016</v>
      </c>
      <c r="I123" s="77">
        <v>4.7590000000000003</v>
      </c>
      <c r="J123" s="77">
        <v>4.3819999999999997</v>
      </c>
      <c r="K123" s="77">
        <v>3.798</v>
      </c>
      <c r="L123" s="77">
        <v>2.7489999999999997</v>
      </c>
      <c r="M123" s="77">
        <v>1.3530000000000002</v>
      </c>
      <c r="N123" s="77">
        <v>0.29199999999999998</v>
      </c>
      <c r="O123" s="77">
        <v>0.28599999999999998</v>
      </c>
      <c r="P123" s="81"/>
      <c r="Q123" s="287">
        <v>0</v>
      </c>
      <c r="R123" s="81">
        <v>0</v>
      </c>
      <c r="S123" s="81">
        <v>0</v>
      </c>
      <c r="T123" s="81">
        <v>0</v>
      </c>
      <c r="U123" s="81">
        <v>0</v>
      </c>
      <c r="V123" s="81">
        <v>0</v>
      </c>
      <c r="W123" s="81">
        <v>17.449000000000002</v>
      </c>
      <c r="X123" s="81">
        <v>12.939</v>
      </c>
      <c r="Y123" s="81">
        <v>8.18</v>
      </c>
      <c r="Z123" s="81">
        <v>3.798</v>
      </c>
      <c r="AA123" s="81">
        <v>4.68</v>
      </c>
      <c r="AB123" s="81">
        <v>1.931</v>
      </c>
      <c r="AC123" s="81">
        <v>0.57799999999999996</v>
      </c>
      <c r="AD123" s="81">
        <v>0.28599999999999998</v>
      </c>
    </row>
    <row r="124" spans="1:30">
      <c r="A124" s="38" t="s">
        <v>109</v>
      </c>
      <c r="B124" s="179">
        <v>0</v>
      </c>
      <c r="C124" s="77">
        <v>0</v>
      </c>
      <c r="D124" s="77">
        <v>0</v>
      </c>
      <c r="E124" s="77">
        <v>0</v>
      </c>
      <c r="F124" s="77">
        <v>0</v>
      </c>
      <c r="G124" s="77">
        <v>0</v>
      </c>
      <c r="H124" s="77">
        <v>1.4299999999999997</v>
      </c>
      <c r="I124" s="77">
        <v>1.3730000000000002</v>
      </c>
      <c r="J124" s="77">
        <v>1.2409999999999999</v>
      </c>
      <c r="K124" s="77">
        <v>1.325</v>
      </c>
      <c r="L124" s="77">
        <v>1.2470000000000003</v>
      </c>
      <c r="M124" s="77">
        <v>1.2829999999999999</v>
      </c>
      <c r="N124" s="77">
        <v>1.1819999999999999</v>
      </c>
      <c r="O124" s="77">
        <v>1.387</v>
      </c>
      <c r="P124" s="81"/>
      <c r="Q124" s="287">
        <v>0</v>
      </c>
      <c r="R124" s="81">
        <v>0</v>
      </c>
      <c r="S124" s="81">
        <v>0</v>
      </c>
      <c r="T124" s="81">
        <v>0</v>
      </c>
      <c r="U124" s="81">
        <v>0</v>
      </c>
      <c r="V124" s="81">
        <v>0</v>
      </c>
      <c r="W124" s="81">
        <v>5.3689999999999998</v>
      </c>
      <c r="X124" s="81">
        <v>3.9390000000000001</v>
      </c>
      <c r="Y124" s="81">
        <v>2.5659999999999998</v>
      </c>
      <c r="Z124" s="81">
        <v>1.325</v>
      </c>
      <c r="AA124" s="81">
        <v>5.0990000000000002</v>
      </c>
      <c r="AB124" s="81">
        <v>3.8519999999999999</v>
      </c>
      <c r="AC124" s="81">
        <v>2.569</v>
      </c>
      <c r="AD124" s="81">
        <v>1.387</v>
      </c>
    </row>
    <row r="125" spans="1:30">
      <c r="A125" s="38" t="s">
        <v>46</v>
      </c>
      <c r="B125" s="179">
        <v>0</v>
      </c>
      <c r="C125" s="77">
        <v>0</v>
      </c>
      <c r="D125" s="77">
        <v>0</v>
      </c>
      <c r="E125" s="77">
        <v>0</v>
      </c>
      <c r="F125" s="77">
        <v>0</v>
      </c>
      <c r="G125" s="77">
        <v>0</v>
      </c>
      <c r="H125" s="77">
        <v>0.14900000000000002</v>
      </c>
      <c r="I125" s="77">
        <v>0.156</v>
      </c>
      <c r="J125" s="77">
        <v>0.112</v>
      </c>
      <c r="K125" s="77">
        <v>0.108</v>
      </c>
      <c r="L125" s="77">
        <v>4.0999999999999981E-2</v>
      </c>
      <c r="M125" s="77">
        <v>9.0000000000000024E-2</v>
      </c>
      <c r="N125" s="77">
        <v>-0.6339999999999999</v>
      </c>
      <c r="O125" s="77">
        <v>0.81699999999999995</v>
      </c>
      <c r="P125" s="81"/>
      <c r="Q125" s="287">
        <v>0</v>
      </c>
      <c r="R125" s="81">
        <v>0</v>
      </c>
      <c r="S125" s="81">
        <v>0</v>
      </c>
      <c r="T125" s="81">
        <v>0</v>
      </c>
      <c r="U125" s="81">
        <v>0</v>
      </c>
      <c r="V125" s="81">
        <v>0</v>
      </c>
      <c r="W125" s="81">
        <v>0.52500000000000002</v>
      </c>
      <c r="X125" s="81">
        <v>0.376</v>
      </c>
      <c r="Y125" s="81">
        <v>0.22</v>
      </c>
      <c r="Z125" s="81">
        <v>0.108</v>
      </c>
      <c r="AA125" s="81">
        <v>0.314</v>
      </c>
      <c r="AB125" s="81">
        <v>0.27300000000000002</v>
      </c>
      <c r="AC125" s="81">
        <v>0.183</v>
      </c>
      <c r="AD125" s="81">
        <v>0.81699999999999995</v>
      </c>
    </row>
    <row r="126" spans="1:30">
      <c r="A126" s="19" t="s">
        <v>47</v>
      </c>
      <c r="B126" s="289">
        <v>0</v>
      </c>
      <c r="C126" s="236">
        <v>0</v>
      </c>
      <c r="D126" s="236">
        <v>0</v>
      </c>
      <c r="E126" s="236">
        <v>0</v>
      </c>
      <c r="F126" s="236">
        <v>0</v>
      </c>
      <c r="G126" s="236">
        <v>0</v>
      </c>
      <c r="H126" s="236">
        <v>6.0889999999999986</v>
      </c>
      <c r="I126" s="236">
        <v>6.288000000000002</v>
      </c>
      <c r="J126" s="236">
        <v>5.7349999999999994</v>
      </c>
      <c r="K126" s="236">
        <v>5.2309999999999999</v>
      </c>
      <c r="L126" s="236">
        <v>4.0370000000000008</v>
      </c>
      <c r="M126" s="236">
        <v>2.7259999999999995</v>
      </c>
      <c r="N126" s="236">
        <v>0.83999999999999941</v>
      </c>
      <c r="O126" s="236">
        <v>2.4900000000000002</v>
      </c>
      <c r="P126" s="83"/>
      <c r="Q126" s="288">
        <v>0</v>
      </c>
      <c r="R126" s="83">
        <v>0</v>
      </c>
      <c r="S126" s="83">
        <v>0</v>
      </c>
      <c r="T126" s="83">
        <v>0</v>
      </c>
      <c r="U126" s="83">
        <v>0</v>
      </c>
      <c r="V126" s="83">
        <v>0</v>
      </c>
      <c r="W126" s="83">
        <v>23.343</v>
      </c>
      <c r="X126" s="83">
        <v>17.254000000000001</v>
      </c>
      <c r="Y126" s="83">
        <v>10.965999999999999</v>
      </c>
      <c r="Z126" s="83">
        <v>5.2309999999999999</v>
      </c>
      <c r="AA126" s="83">
        <v>10.093</v>
      </c>
      <c r="AB126" s="83">
        <v>6.0559999999999992</v>
      </c>
      <c r="AC126" s="83">
        <v>3.3299999999999996</v>
      </c>
      <c r="AD126" s="83">
        <v>2.4900000000000002</v>
      </c>
    </row>
    <row r="127" spans="1:30">
      <c r="A127" s="19" t="s">
        <v>50</v>
      </c>
      <c r="B127" s="289">
        <v>0</v>
      </c>
      <c r="C127" s="236">
        <v>0</v>
      </c>
      <c r="D127" s="236">
        <v>0</v>
      </c>
      <c r="E127" s="236">
        <v>0</v>
      </c>
      <c r="F127" s="236">
        <v>0</v>
      </c>
      <c r="G127" s="236">
        <v>0</v>
      </c>
      <c r="H127" s="236">
        <v>-2.7030000000000003</v>
      </c>
      <c r="I127" s="236">
        <v>-1.3360000000000003</v>
      </c>
      <c r="J127" s="236">
        <v>-2.161</v>
      </c>
      <c r="K127" s="236">
        <v>-1.956</v>
      </c>
      <c r="L127" s="236">
        <v>-2.0369999999999999</v>
      </c>
      <c r="M127" s="236">
        <v>-1.7189999999999999</v>
      </c>
      <c r="N127" s="236">
        <v>-1.2439999999999998</v>
      </c>
      <c r="O127" s="236">
        <v>-2.0920000000000001</v>
      </c>
      <c r="P127" s="83"/>
      <c r="Q127" s="288">
        <v>0</v>
      </c>
      <c r="R127" s="83">
        <v>0</v>
      </c>
      <c r="S127" s="83">
        <v>0</v>
      </c>
      <c r="T127" s="83">
        <v>0</v>
      </c>
      <c r="U127" s="83">
        <v>0</v>
      </c>
      <c r="V127" s="83">
        <v>0</v>
      </c>
      <c r="W127" s="83">
        <v>-8.1560000000000006</v>
      </c>
      <c r="X127" s="83">
        <v>-5.4530000000000003</v>
      </c>
      <c r="Y127" s="83">
        <v>-4.117</v>
      </c>
      <c r="Z127" s="83">
        <v>-1.956</v>
      </c>
      <c r="AA127" s="83">
        <v>-7.0919999999999996</v>
      </c>
      <c r="AB127" s="83">
        <v>-5.0549999999999997</v>
      </c>
      <c r="AC127" s="83">
        <v>-3.3359999999999999</v>
      </c>
      <c r="AD127" s="83">
        <v>-2.0920000000000001</v>
      </c>
    </row>
    <row r="128" spans="1:30">
      <c r="A128" s="19" t="s">
        <v>110</v>
      </c>
      <c r="B128" s="289">
        <v>0</v>
      </c>
      <c r="C128" s="236">
        <v>0</v>
      </c>
      <c r="D128" s="236">
        <v>0</v>
      </c>
      <c r="E128" s="236">
        <v>0</v>
      </c>
      <c r="F128" s="236">
        <v>0</v>
      </c>
      <c r="G128" s="236">
        <v>0</v>
      </c>
      <c r="H128" s="236">
        <v>3.3859999999999975</v>
      </c>
      <c r="I128" s="236">
        <v>4.9520000000000026</v>
      </c>
      <c r="J128" s="236">
        <v>3.5739999999999994</v>
      </c>
      <c r="K128" s="236">
        <v>3.2749999999999999</v>
      </c>
      <c r="L128" s="236">
        <v>2.0000000000000009</v>
      </c>
      <c r="M128" s="236">
        <v>1.0069999999999997</v>
      </c>
      <c r="N128" s="236">
        <v>-0.40400000000000036</v>
      </c>
      <c r="O128" s="236">
        <v>0.39800000000000013</v>
      </c>
      <c r="P128" s="83"/>
      <c r="Q128" s="288">
        <v>0</v>
      </c>
      <c r="R128" s="83">
        <v>0</v>
      </c>
      <c r="S128" s="83">
        <v>0</v>
      </c>
      <c r="T128" s="83">
        <v>0</v>
      </c>
      <c r="U128" s="83">
        <v>0</v>
      </c>
      <c r="V128" s="83">
        <v>0</v>
      </c>
      <c r="W128" s="83">
        <v>15.186999999999999</v>
      </c>
      <c r="X128" s="83">
        <v>11.801000000000002</v>
      </c>
      <c r="Y128" s="83">
        <v>6.8489999999999993</v>
      </c>
      <c r="Z128" s="83">
        <v>3.2749999999999999</v>
      </c>
      <c r="AA128" s="83">
        <v>3.0010000000000003</v>
      </c>
      <c r="AB128" s="83">
        <v>1.0009999999999994</v>
      </c>
      <c r="AC128" s="83">
        <v>-6.0000000000002274E-3</v>
      </c>
      <c r="AD128" s="83">
        <v>0.39800000000000013</v>
      </c>
    </row>
    <row r="129" spans="1:30" ht="27" customHeight="1">
      <c r="A129" s="79" t="s">
        <v>459</v>
      </c>
      <c r="B129" s="179">
        <v>0</v>
      </c>
      <c r="C129" s="77">
        <v>0</v>
      </c>
      <c r="D129" s="77">
        <v>0</v>
      </c>
      <c r="E129" s="77">
        <v>0</v>
      </c>
      <c r="F129" s="77">
        <v>0</v>
      </c>
      <c r="G129" s="77">
        <v>0</v>
      </c>
      <c r="H129" s="77">
        <v>9.4E-2</v>
      </c>
      <c r="I129" s="77">
        <v>-0.17199999999999999</v>
      </c>
      <c r="J129" s="77">
        <v>9.4E-2</v>
      </c>
      <c r="K129" s="77">
        <v>-1.4999999999999999E-2</v>
      </c>
      <c r="L129" s="77">
        <v>-1.3279999999999998</v>
      </c>
      <c r="M129" s="77">
        <v>-1.3000000000000012E-2</v>
      </c>
      <c r="N129" s="77">
        <v>-1.4999999999999958E-2</v>
      </c>
      <c r="O129" s="77">
        <v>-0.27800000000000002</v>
      </c>
      <c r="P129" s="81"/>
      <c r="Q129" s="287">
        <v>0</v>
      </c>
      <c r="R129" s="81">
        <v>0</v>
      </c>
      <c r="S129" s="81">
        <v>0</v>
      </c>
      <c r="T129" s="81">
        <v>0</v>
      </c>
      <c r="U129" s="81">
        <v>0</v>
      </c>
      <c r="V129" s="81">
        <v>0</v>
      </c>
      <c r="W129" s="81">
        <v>1E-3</v>
      </c>
      <c r="X129" s="81">
        <v>-9.2999999999999999E-2</v>
      </c>
      <c r="Y129" s="81">
        <v>7.9000000000000001E-2</v>
      </c>
      <c r="Z129" s="81">
        <v>-1.4999999999999999E-2</v>
      </c>
      <c r="AA129" s="81">
        <v>-1.6339999999999999</v>
      </c>
      <c r="AB129" s="81">
        <v>-0.30599999999999999</v>
      </c>
      <c r="AC129" s="81">
        <v>-0.29299999999999998</v>
      </c>
      <c r="AD129" s="81">
        <v>-0.27800000000000002</v>
      </c>
    </row>
    <row r="130" spans="1:30">
      <c r="A130" s="38" t="s">
        <v>111</v>
      </c>
      <c r="B130" s="179">
        <v>0</v>
      </c>
      <c r="C130" s="77">
        <v>0</v>
      </c>
      <c r="D130" s="77">
        <v>0</v>
      </c>
      <c r="E130" s="77">
        <v>0</v>
      </c>
      <c r="F130" s="77">
        <v>0</v>
      </c>
      <c r="G130" s="77">
        <v>0</v>
      </c>
      <c r="H130" s="77">
        <v>1.4999999999999999E-2</v>
      </c>
      <c r="I130" s="77">
        <v>1.1000000000000001E-2</v>
      </c>
      <c r="J130" s="77">
        <v>6.0000000000000001E-3</v>
      </c>
      <c r="K130" s="77">
        <v>0</v>
      </c>
      <c r="L130" s="77">
        <v>-1.0000000000000009E-3</v>
      </c>
      <c r="M130" s="77">
        <v>0</v>
      </c>
      <c r="N130" s="77">
        <v>-0.20200000000000001</v>
      </c>
      <c r="O130" s="77">
        <v>0</v>
      </c>
      <c r="P130" s="81"/>
      <c r="Q130" s="287">
        <v>0</v>
      </c>
      <c r="R130" s="81">
        <v>0</v>
      </c>
      <c r="S130" s="81">
        <v>0</v>
      </c>
      <c r="T130" s="81">
        <v>0</v>
      </c>
      <c r="U130" s="81">
        <v>0</v>
      </c>
      <c r="V130" s="81">
        <v>0</v>
      </c>
      <c r="W130" s="81">
        <v>3.2000000000000001E-2</v>
      </c>
      <c r="X130" s="81">
        <v>1.7000000000000001E-2</v>
      </c>
      <c r="Y130" s="81">
        <v>6.0000000000000001E-3</v>
      </c>
      <c r="Z130" s="81">
        <v>0</v>
      </c>
      <c r="AA130" s="81">
        <v>-0.20300000000000001</v>
      </c>
      <c r="AB130" s="81">
        <v>-0.20200000000000001</v>
      </c>
      <c r="AC130" s="81">
        <v>-0.20200000000000001</v>
      </c>
      <c r="AD130" s="81">
        <v>0</v>
      </c>
    </row>
    <row r="131" spans="1:30">
      <c r="A131" s="38" t="s">
        <v>112</v>
      </c>
      <c r="B131" s="179">
        <v>0</v>
      </c>
      <c r="C131" s="77">
        <v>0</v>
      </c>
      <c r="D131" s="77">
        <v>0</v>
      </c>
      <c r="E131" s="77">
        <v>0</v>
      </c>
      <c r="F131" s="77">
        <v>0</v>
      </c>
      <c r="G131" s="77">
        <v>0</v>
      </c>
      <c r="H131" s="77">
        <v>0</v>
      </c>
      <c r="I131" s="77">
        <v>0</v>
      </c>
      <c r="J131" s="77">
        <v>0</v>
      </c>
      <c r="K131" s="77">
        <v>0</v>
      </c>
      <c r="L131" s="77">
        <v>0</v>
      </c>
      <c r="M131" s="77">
        <v>0</v>
      </c>
      <c r="N131" s="77">
        <v>0</v>
      </c>
      <c r="O131" s="77">
        <v>0</v>
      </c>
      <c r="P131" s="81"/>
      <c r="Q131" s="287">
        <v>0</v>
      </c>
      <c r="R131" s="81">
        <v>0</v>
      </c>
      <c r="S131" s="81">
        <v>0</v>
      </c>
      <c r="T131" s="81">
        <v>0</v>
      </c>
      <c r="U131" s="81">
        <v>0</v>
      </c>
      <c r="V131" s="81">
        <v>0</v>
      </c>
      <c r="W131" s="81">
        <v>0</v>
      </c>
      <c r="X131" s="81">
        <v>0</v>
      </c>
      <c r="Y131" s="81">
        <v>0</v>
      </c>
      <c r="Z131" s="81">
        <v>0</v>
      </c>
      <c r="AA131" s="81">
        <v>0</v>
      </c>
      <c r="AB131" s="81">
        <v>0</v>
      </c>
      <c r="AC131" s="81">
        <v>0</v>
      </c>
      <c r="AD131" s="81">
        <v>0</v>
      </c>
    </row>
    <row r="132" spans="1:30">
      <c r="A132" s="38" t="s">
        <v>113</v>
      </c>
      <c r="B132" s="179">
        <v>0</v>
      </c>
      <c r="C132" s="77">
        <v>0</v>
      </c>
      <c r="D132" s="77">
        <v>0</v>
      </c>
      <c r="E132" s="77">
        <v>0</v>
      </c>
      <c r="F132" s="77">
        <v>0</v>
      </c>
      <c r="G132" s="77">
        <v>0</v>
      </c>
      <c r="H132" s="77">
        <v>0</v>
      </c>
      <c r="I132" s="77">
        <v>0</v>
      </c>
      <c r="J132" s="77">
        <v>0</v>
      </c>
      <c r="K132" s="77">
        <v>0</v>
      </c>
      <c r="L132" s="77">
        <v>0</v>
      </c>
      <c r="M132" s="77">
        <v>0</v>
      </c>
      <c r="N132" s="77">
        <v>0</v>
      </c>
      <c r="O132" s="77">
        <v>0</v>
      </c>
      <c r="P132" s="81"/>
      <c r="Q132" s="287">
        <v>0</v>
      </c>
      <c r="R132" s="81">
        <v>0</v>
      </c>
      <c r="S132" s="81">
        <v>0</v>
      </c>
      <c r="T132" s="81">
        <v>0</v>
      </c>
      <c r="U132" s="81">
        <v>0</v>
      </c>
      <c r="V132" s="81">
        <v>0</v>
      </c>
      <c r="W132" s="81">
        <v>0</v>
      </c>
      <c r="X132" s="81">
        <v>0</v>
      </c>
      <c r="Y132" s="81">
        <v>0</v>
      </c>
      <c r="Z132" s="81">
        <v>0</v>
      </c>
      <c r="AA132" s="81">
        <v>0</v>
      </c>
      <c r="AB132" s="81">
        <v>0</v>
      </c>
      <c r="AC132" s="81">
        <v>0</v>
      </c>
      <c r="AD132" s="81">
        <v>0</v>
      </c>
    </row>
    <row r="133" spans="1:30">
      <c r="A133" s="19" t="s">
        <v>114</v>
      </c>
      <c r="B133" s="289">
        <v>0</v>
      </c>
      <c r="C133" s="236">
        <v>0</v>
      </c>
      <c r="D133" s="236">
        <v>0</v>
      </c>
      <c r="E133" s="236">
        <v>0</v>
      </c>
      <c r="F133" s="236">
        <v>0</v>
      </c>
      <c r="G133" s="236">
        <v>0</v>
      </c>
      <c r="H133" s="236">
        <v>3.4949999999999974</v>
      </c>
      <c r="I133" s="236">
        <v>4.7910000000000021</v>
      </c>
      <c r="J133" s="236">
        <v>3.6739999999999995</v>
      </c>
      <c r="K133" s="236">
        <v>3.26</v>
      </c>
      <c r="L133" s="236">
        <v>0.67100000000000093</v>
      </c>
      <c r="M133" s="236">
        <v>0.99399999999999955</v>
      </c>
      <c r="N133" s="236">
        <v>-0.62100000000000033</v>
      </c>
      <c r="O133" s="236">
        <v>0.12000000000000011</v>
      </c>
      <c r="P133" s="83"/>
      <c r="Q133" s="288">
        <v>0</v>
      </c>
      <c r="R133" s="83">
        <v>0</v>
      </c>
      <c r="S133" s="83">
        <v>0</v>
      </c>
      <c r="T133" s="83">
        <v>0</v>
      </c>
      <c r="U133" s="83">
        <v>0</v>
      </c>
      <c r="V133" s="83">
        <v>0</v>
      </c>
      <c r="W133" s="83">
        <v>15.219999999999999</v>
      </c>
      <c r="X133" s="83">
        <v>11.725000000000001</v>
      </c>
      <c r="Y133" s="83">
        <v>6.9339999999999993</v>
      </c>
      <c r="Z133" s="83">
        <v>3.26</v>
      </c>
      <c r="AA133" s="83">
        <v>1.1640000000000004</v>
      </c>
      <c r="AB133" s="83">
        <v>0.49299999999999938</v>
      </c>
      <c r="AC133" s="83">
        <v>-0.50100000000000022</v>
      </c>
      <c r="AD133" s="83">
        <v>0.12000000000000011</v>
      </c>
    </row>
    <row r="134" spans="1:30">
      <c r="A134" s="38" t="s">
        <v>55</v>
      </c>
      <c r="B134" s="179">
        <v>0</v>
      </c>
      <c r="C134" s="77">
        <v>0</v>
      </c>
      <c r="D134" s="77">
        <v>0</v>
      </c>
      <c r="E134" s="77">
        <v>0</v>
      </c>
      <c r="F134" s="77">
        <v>0</v>
      </c>
      <c r="G134" s="77">
        <v>0</v>
      </c>
      <c r="H134" s="77">
        <v>-0.43687499999999968</v>
      </c>
      <c r="I134" s="77">
        <v>-0.59887500000000027</v>
      </c>
      <c r="J134" s="77">
        <v>-0.45924999999999994</v>
      </c>
      <c r="K134" s="77">
        <v>-0.40749999999999997</v>
      </c>
      <c r="L134" s="77">
        <v>-8.3875000000000116E-2</v>
      </c>
      <c r="M134" s="77">
        <v>-0.12424999999999994</v>
      </c>
      <c r="N134" s="77">
        <v>7.7625000000000041E-2</v>
      </c>
      <c r="O134" s="77">
        <v>-1.5000000000000013E-2</v>
      </c>
      <c r="P134" s="81"/>
      <c r="Q134" s="287">
        <v>0</v>
      </c>
      <c r="R134" s="81">
        <v>0</v>
      </c>
      <c r="S134" s="81">
        <v>0</v>
      </c>
      <c r="T134" s="81">
        <v>0</v>
      </c>
      <c r="U134" s="81">
        <v>0</v>
      </c>
      <c r="V134" s="81">
        <v>0</v>
      </c>
      <c r="W134" s="81">
        <v>-1.9024999999999999</v>
      </c>
      <c r="X134" s="81">
        <v>-1.4656250000000002</v>
      </c>
      <c r="Y134" s="81">
        <v>-0.86674999999999991</v>
      </c>
      <c r="Z134" s="81">
        <v>-0.40749999999999997</v>
      </c>
      <c r="AA134" s="81">
        <v>-0.14550000000000005</v>
      </c>
      <c r="AB134" s="81">
        <v>-6.1624999999999923E-2</v>
      </c>
      <c r="AC134" s="81">
        <v>6.2625000000000028E-2</v>
      </c>
      <c r="AD134" s="81">
        <v>-1.5000000000000013E-2</v>
      </c>
    </row>
    <row r="135" spans="1:30">
      <c r="A135" s="38" t="s">
        <v>115</v>
      </c>
      <c r="B135" s="179">
        <v>0</v>
      </c>
      <c r="C135" s="77">
        <v>0</v>
      </c>
      <c r="D135" s="77">
        <v>0</v>
      </c>
      <c r="E135" s="77">
        <v>0</v>
      </c>
      <c r="F135" s="77">
        <v>0</v>
      </c>
      <c r="G135" s="77">
        <v>0</v>
      </c>
      <c r="H135" s="77">
        <v>0</v>
      </c>
      <c r="I135" s="77">
        <v>0</v>
      </c>
      <c r="J135" s="77">
        <v>0</v>
      </c>
      <c r="K135" s="77">
        <v>0</v>
      </c>
      <c r="L135" s="77">
        <v>0</v>
      </c>
      <c r="M135" s="77">
        <v>0</v>
      </c>
      <c r="N135" s="77">
        <v>0</v>
      </c>
      <c r="O135" s="77">
        <v>0</v>
      </c>
      <c r="P135" s="81"/>
      <c r="Q135" s="287">
        <v>0</v>
      </c>
      <c r="R135" s="81">
        <v>0</v>
      </c>
      <c r="S135" s="81">
        <v>0</v>
      </c>
      <c r="T135" s="81">
        <v>0</v>
      </c>
      <c r="U135" s="81">
        <v>0</v>
      </c>
      <c r="V135" s="81">
        <v>0</v>
      </c>
      <c r="W135" s="81">
        <v>0</v>
      </c>
      <c r="X135" s="81">
        <v>0</v>
      </c>
      <c r="Y135" s="81">
        <v>0</v>
      </c>
      <c r="Z135" s="81">
        <v>0</v>
      </c>
      <c r="AA135" s="81">
        <v>0</v>
      </c>
      <c r="AB135" s="81">
        <v>0</v>
      </c>
      <c r="AC135" s="81">
        <v>0</v>
      </c>
      <c r="AD135" s="81">
        <v>0</v>
      </c>
    </row>
    <row r="136" spans="1:30">
      <c r="A136" s="19" t="s">
        <v>116</v>
      </c>
      <c r="B136" s="289">
        <v>0</v>
      </c>
      <c r="C136" s="236">
        <v>0</v>
      </c>
      <c r="D136" s="236">
        <v>0</v>
      </c>
      <c r="E136" s="236">
        <v>0</v>
      </c>
      <c r="F136" s="236">
        <v>0</v>
      </c>
      <c r="G136" s="236">
        <v>0</v>
      </c>
      <c r="H136" s="236">
        <v>3.0581249999999969</v>
      </c>
      <c r="I136" s="236">
        <v>4.1921250000000025</v>
      </c>
      <c r="J136" s="236">
        <v>3.2147499999999996</v>
      </c>
      <c r="K136" s="236">
        <v>2.8525</v>
      </c>
      <c r="L136" s="236">
        <v>0.58712500000000101</v>
      </c>
      <c r="M136" s="236">
        <v>0.86974999999999958</v>
      </c>
      <c r="N136" s="236">
        <v>-0.54337500000000027</v>
      </c>
      <c r="O136" s="236">
        <v>0.10500000000000009</v>
      </c>
      <c r="P136" s="83"/>
      <c r="Q136" s="288">
        <v>0</v>
      </c>
      <c r="R136" s="83">
        <v>0</v>
      </c>
      <c r="S136" s="83">
        <v>0</v>
      </c>
      <c r="T136" s="83">
        <v>0</v>
      </c>
      <c r="U136" s="83">
        <v>0</v>
      </c>
      <c r="V136" s="83">
        <v>0</v>
      </c>
      <c r="W136" s="83">
        <v>13.317499999999999</v>
      </c>
      <c r="X136" s="83">
        <v>10.259375000000002</v>
      </c>
      <c r="Y136" s="83">
        <v>6.0672499999999996</v>
      </c>
      <c r="Z136" s="83">
        <v>2.8525</v>
      </c>
      <c r="AA136" s="83">
        <v>1.0185000000000004</v>
      </c>
      <c r="AB136" s="83">
        <v>0.43137499999999945</v>
      </c>
      <c r="AC136" s="83">
        <v>-0.43837500000000018</v>
      </c>
      <c r="AD136" s="83">
        <v>0.10500000000000009</v>
      </c>
    </row>
    <row r="137" spans="1:30">
      <c r="A137" s="24"/>
      <c r="B137" s="24"/>
      <c r="C137" s="24"/>
      <c r="D137" s="24"/>
      <c r="E137" s="24"/>
      <c r="F137" s="24"/>
      <c r="G137" s="24"/>
      <c r="H137" s="24"/>
      <c r="I137" s="24"/>
      <c r="J137" s="24"/>
      <c r="K137" s="24"/>
      <c r="L137" s="24"/>
      <c r="M137" s="24"/>
      <c r="N137" s="24"/>
      <c r="O137" s="24"/>
      <c r="P137" s="86"/>
      <c r="Q137" s="86"/>
      <c r="R137" s="86"/>
      <c r="S137" s="86"/>
      <c r="T137" s="86"/>
      <c r="U137" s="86"/>
      <c r="V137" s="86"/>
      <c r="W137" s="86"/>
      <c r="X137" s="86"/>
      <c r="Y137" s="86"/>
      <c r="Z137" s="86"/>
      <c r="AA137" s="86"/>
      <c r="AB137" s="86"/>
      <c r="AC137" s="86"/>
      <c r="AD137" s="86"/>
    </row>
    <row r="138" spans="1:30">
      <c r="A138" s="19" t="s">
        <v>43</v>
      </c>
      <c r="B138" s="75" t="s">
        <v>629</v>
      </c>
      <c r="C138" s="75" t="s">
        <v>606</v>
      </c>
      <c r="D138" s="75" t="s">
        <v>593</v>
      </c>
      <c r="E138" s="75" t="s">
        <v>550</v>
      </c>
      <c r="F138" s="75" t="s">
        <v>524</v>
      </c>
      <c r="G138" s="75" t="s">
        <v>513</v>
      </c>
      <c r="H138" s="75" t="s">
        <v>502</v>
      </c>
      <c r="I138" s="75" t="s">
        <v>419</v>
      </c>
      <c r="J138" s="75" t="s">
        <v>401</v>
      </c>
      <c r="K138" s="75" t="s">
        <v>387</v>
      </c>
      <c r="L138" s="75" t="s">
        <v>476</v>
      </c>
      <c r="M138" s="75" t="s">
        <v>477</v>
      </c>
      <c r="N138" s="75" t="s">
        <v>478</v>
      </c>
      <c r="O138" s="75" t="s">
        <v>479</v>
      </c>
      <c r="P138" s="75"/>
      <c r="Q138" s="75" t="s">
        <v>630</v>
      </c>
      <c r="R138" s="75" t="s">
        <v>607</v>
      </c>
      <c r="S138" s="75" t="s">
        <v>594</v>
      </c>
      <c r="T138" s="75" t="s">
        <v>551</v>
      </c>
      <c r="U138" s="75" t="s">
        <v>525</v>
      </c>
      <c r="V138" s="75" t="s">
        <v>514</v>
      </c>
      <c r="W138" s="75" t="s">
        <v>503</v>
      </c>
      <c r="X138" s="75" t="s">
        <v>420</v>
      </c>
      <c r="Y138" s="75" t="s">
        <v>402</v>
      </c>
      <c r="Z138" s="75" t="s">
        <v>388</v>
      </c>
      <c r="AA138" s="75" t="s">
        <v>715</v>
      </c>
      <c r="AB138" s="75" t="s">
        <v>716</v>
      </c>
      <c r="AC138" s="75" t="s">
        <v>717</v>
      </c>
      <c r="AD138" s="75" t="s">
        <v>718</v>
      </c>
    </row>
    <row r="139" spans="1:30">
      <c r="A139" s="21" t="s">
        <v>118</v>
      </c>
      <c r="B139" s="21"/>
      <c r="C139" s="21"/>
      <c r="D139" s="21"/>
      <c r="E139" s="21"/>
      <c r="F139" s="21"/>
      <c r="G139" s="21"/>
      <c r="H139" s="21"/>
      <c r="I139" s="21"/>
      <c r="J139" s="21"/>
      <c r="K139" s="21"/>
      <c r="L139" s="21"/>
      <c r="M139" s="21"/>
      <c r="N139" s="21"/>
      <c r="O139" s="21"/>
      <c r="P139" s="85"/>
      <c r="Q139" s="85"/>
      <c r="R139" s="85"/>
      <c r="S139" s="85"/>
      <c r="T139" s="85"/>
      <c r="U139" s="85"/>
      <c r="V139" s="85"/>
      <c r="W139" s="85"/>
      <c r="X139" s="85"/>
      <c r="Y139" s="85"/>
      <c r="Z139" s="85"/>
      <c r="AA139" s="85"/>
      <c r="AB139" s="85"/>
      <c r="AC139" s="85"/>
      <c r="AD139" s="85"/>
    </row>
    <row r="140" spans="1:30">
      <c r="A140" s="38" t="s">
        <v>44</v>
      </c>
      <c r="B140" s="179">
        <v>2.1329999999999996</v>
      </c>
      <c r="C140" s="77">
        <v>2.93</v>
      </c>
      <c r="D140" s="77">
        <v>3.4809999999999999</v>
      </c>
      <c r="E140" s="77">
        <v>3.120000000000001</v>
      </c>
      <c r="F140" s="77">
        <v>4.077</v>
      </c>
      <c r="G140" s="77">
        <v>3.9780000000000002</v>
      </c>
      <c r="H140" s="77">
        <v>4.0810000000000013</v>
      </c>
      <c r="I140" s="77">
        <v>4.261000000000001</v>
      </c>
      <c r="J140" s="77">
        <v>4.9169999999999998</v>
      </c>
      <c r="K140" s="77">
        <v>4.4429999999999996</v>
      </c>
      <c r="L140" s="77">
        <v>6.4280000000000008</v>
      </c>
      <c r="M140" s="77">
        <v>7.718</v>
      </c>
      <c r="N140" s="77">
        <v>7.8719999999999999</v>
      </c>
      <c r="O140" s="77">
        <v>8.4220000000000006</v>
      </c>
      <c r="P140" s="81"/>
      <c r="Q140" s="287">
        <v>5.0629999999999997</v>
      </c>
      <c r="R140" s="81">
        <v>2.93</v>
      </c>
      <c r="S140" s="81">
        <v>14.656000000000001</v>
      </c>
      <c r="T140" s="81">
        <v>11.175000000000001</v>
      </c>
      <c r="U140" s="81">
        <v>8.0549999999999997</v>
      </c>
      <c r="V140" s="81">
        <v>3.9780000000000002</v>
      </c>
      <c r="W140" s="81">
        <v>17.702000000000002</v>
      </c>
      <c r="X140" s="81">
        <v>13.621</v>
      </c>
      <c r="Y140" s="81">
        <v>9.36</v>
      </c>
      <c r="Z140" s="81">
        <v>4.4429999999999996</v>
      </c>
      <c r="AA140" s="81">
        <v>30.44</v>
      </c>
      <c r="AB140" s="81">
        <v>24.012</v>
      </c>
      <c r="AC140" s="81">
        <v>16.294</v>
      </c>
      <c r="AD140" s="81">
        <v>8.4220000000000006</v>
      </c>
    </row>
    <row r="141" spans="1:30">
      <c r="A141" s="38" t="s">
        <v>109</v>
      </c>
      <c r="B141" s="179">
        <v>0.52200000000000002</v>
      </c>
      <c r="C141" s="77">
        <v>0.54800000000000004</v>
      </c>
      <c r="D141" s="77">
        <v>0.58099999999999996</v>
      </c>
      <c r="E141" s="77">
        <v>0.63700000000000001</v>
      </c>
      <c r="F141" s="77">
        <v>0.5129999999999999</v>
      </c>
      <c r="G141" s="77">
        <v>0.44700000000000001</v>
      </c>
      <c r="H141" s="77">
        <v>0.92299999999999982</v>
      </c>
      <c r="I141" s="77">
        <v>0.55200000000000005</v>
      </c>
      <c r="J141" s="77">
        <v>0.71099999999999997</v>
      </c>
      <c r="K141" s="77">
        <v>0.65800000000000003</v>
      </c>
      <c r="L141" s="77">
        <v>1.782</v>
      </c>
      <c r="M141" s="77">
        <v>1.7850000000000001</v>
      </c>
      <c r="N141" s="77">
        <v>1.9019999999999997</v>
      </c>
      <c r="O141" s="77">
        <v>2.35</v>
      </c>
      <c r="P141" s="81"/>
      <c r="Q141" s="287">
        <v>1.07</v>
      </c>
      <c r="R141" s="81">
        <v>0.54800000000000004</v>
      </c>
      <c r="S141" s="81">
        <v>2.1779999999999999</v>
      </c>
      <c r="T141" s="81">
        <v>1.597</v>
      </c>
      <c r="U141" s="81">
        <v>0.96</v>
      </c>
      <c r="V141" s="81">
        <v>0.44700000000000001</v>
      </c>
      <c r="W141" s="81">
        <v>2.8439999999999999</v>
      </c>
      <c r="X141" s="81">
        <v>1.921</v>
      </c>
      <c r="Y141" s="81">
        <v>1.369</v>
      </c>
      <c r="Z141" s="81">
        <v>0.65800000000000003</v>
      </c>
      <c r="AA141" s="81">
        <v>7.819</v>
      </c>
      <c r="AB141" s="81">
        <v>6.0369999999999999</v>
      </c>
      <c r="AC141" s="81">
        <v>4.2519999999999998</v>
      </c>
      <c r="AD141" s="81">
        <v>2.35</v>
      </c>
    </row>
    <row r="142" spans="1:30">
      <c r="A142" s="38" t="s">
        <v>46</v>
      </c>
      <c r="B142" s="179">
        <v>1.9E-2</v>
      </c>
      <c r="C142" s="77">
        <v>7.0000000000000001E-3</v>
      </c>
      <c r="D142" s="77">
        <v>1.1999999999999997E-2</v>
      </c>
      <c r="E142" s="77">
        <v>8.9999999999999941E-3</v>
      </c>
      <c r="F142" s="77">
        <v>1.4999999999999999E-2</v>
      </c>
      <c r="G142" s="77">
        <v>7.0000000000000007E-2</v>
      </c>
      <c r="H142" s="77">
        <v>-0.16899999999999998</v>
      </c>
      <c r="I142" s="77">
        <v>-1.9000000000000003E-2</v>
      </c>
      <c r="J142" s="77">
        <v>7.3000000000000009E-2</v>
      </c>
      <c r="K142" s="77">
        <v>1.0999999999999999E-2</v>
      </c>
      <c r="L142" s="77">
        <v>1.3000000000000012E-2</v>
      </c>
      <c r="M142" s="77">
        <v>2.9000000000000026E-2</v>
      </c>
      <c r="N142" s="77">
        <v>0.10699999999999998</v>
      </c>
      <c r="O142" s="77">
        <v>0.13100000000000001</v>
      </c>
      <c r="P142" s="81"/>
      <c r="Q142" s="287">
        <v>2.5999999999999999E-2</v>
      </c>
      <c r="R142" s="81">
        <v>7.0000000000000001E-3</v>
      </c>
      <c r="S142" s="81">
        <v>0.106</v>
      </c>
      <c r="T142" s="81">
        <v>9.4E-2</v>
      </c>
      <c r="U142" s="81">
        <v>8.5000000000000006E-2</v>
      </c>
      <c r="V142" s="81">
        <v>7.0000000000000007E-2</v>
      </c>
      <c r="W142" s="81">
        <v>-0.104</v>
      </c>
      <c r="X142" s="81">
        <v>6.5000000000000002E-2</v>
      </c>
      <c r="Y142" s="81">
        <v>8.4000000000000005E-2</v>
      </c>
      <c r="Z142" s="81">
        <v>1.0999999999999999E-2</v>
      </c>
      <c r="AA142" s="81">
        <v>0.28000000000000003</v>
      </c>
      <c r="AB142" s="81">
        <v>0.26700000000000002</v>
      </c>
      <c r="AC142" s="81">
        <v>0.23799999999999999</v>
      </c>
      <c r="AD142" s="81">
        <v>0.13100000000000001</v>
      </c>
    </row>
    <row r="143" spans="1:30">
      <c r="A143" s="19" t="s">
        <v>47</v>
      </c>
      <c r="B143" s="289">
        <v>2.6739999999999995</v>
      </c>
      <c r="C143" s="236">
        <v>3.4850000000000003</v>
      </c>
      <c r="D143" s="236">
        <v>4.0740000000000016</v>
      </c>
      <c r="E143" s="236">
        <v>3.7659999999999982</v>
      </c>
      <c r="F143" s="236">
        <v>4.6050000000000013</v>
      </c>
      <c r="G143" s="236">
        <v>4.4950000000000001</v>
      </c>
      <c r="H143" s="236">
        <v>4.8350000000000044</v>
      </c>
      <c r="I143" s="236">
        <v>4.7940000000000005</v>
      </c>
      <c r="J143" s="236">
        <v>5.7009999999999987</v>
      </c>
      <c r="K143" s="236">
        <v>5.1120000000000001</v>
      </c>
      <c r="L143" s="236">
        <v>8.2230000000000025</v>
      </c>
      <c r="M143" s="236">
        <v>9.532</v>
      </c>
      <c r="N143" s="236">
        <v>9.8809999999999985</v>
      </c>
      <c r="O143" s="236">
        <v>10.903</v>
      </c>
      <c r="P143" s="83"/>
      <c r="Q143" s="288">
        <v>6.1589999999999998</v>
      </c>
      <c r="R143" s="83">
        <v>3.4850000000000003</v>
      </c>
      <c r="S143" s="83">
        <v>16.940000000000001</v>
      </c>
      <c r="T143" s="83">
        <v>12.866</v>
      </c>
      <c r="U143" s="83">
        <v>9.1000000000000014</v>
      </c>
      <c r="V143" s="83">
        <v>4.4950000000000001</v>
      </c>
      <c r="W143" s="83">
        <v>20.442000000000004</v>
      </c>
      <c r="X143" s="83">
        <v>15.606999999999999</v>
      </c>
      <c r="Y143" s="83">
        <v>10.812999999999999</v>
      </c>
      <c r="Z143" s="83">
        <v>5.1120000000000001</v>
      </c>
      <c r="AA143" s="83">
        <v>38.539000000000001</v>
      </c>
      <c r="AB143" s="83">
        <v>30.315999999999999</v>
      </c>
      <c r="AC143" s="83">
        <v>20.783999999999999</v>
      </c>
      <c r="AD143" s="83">
        <v>10.903</v>
      </c>
    </row>
    <row r="144" spans="1:30">
      <c r="A144" s="19" t="s">
        <v>50</v>
      </c>
      <c r="B144" s="289">
        <v>-4.3170000000000011</v>
      </c>
      <c r="C144" s="236">
        <v>-4.6109999999999998</v>
      </c>
      <c r="D144" s="236">
        <v>-6.8109999999999999</v>
      </c>
      <c r="E144" s="236">
        <v>-1.9220000000000006</v>
      </c>
      <c r="F144" s="236">
        <v>-4.8939999999999992</v>
      </c>
      <c r="G144" s="236">
        <v>-4.9340000000000002</v>
      </c>
      <c r="H144" s="236">
        <v>-4.0510000000000019</v>
      </c>
      <c r="I144" s="236">
        <v>-5.879999999999999</v>
      </c>
      <c r="J144" s="236">
        <v>-4.6190000000000007</v>
      </c>
      <c r="K144" s="236">
        <v>-5.3579999999999997</v>
      </c>
      <c r="L144" s="236">
        <v>-9.9469999999999992</v>
      </c>
      <c r="M144" s="236">
        <v>-6.2049999999999983</v>
      </c>
      <c r="N144" s="236">
        <v>-8.8470000000000013</v>
      </c>
      <c r="O144" s="236">
        <v>-8.0719999999999992</v>
      </c>
      <c r="P144" s="83"/>
      <c r="Q144" s="288">
        <v>-8.9280000000000008</v>
      </c>
      <c r="R144" s="83">
        <v>-4.6109999999999998</v>
      </c>
      <c r="S144" s="83">
        <v>-18.561</v>
      </c>
      <c r="T144" s="83">
        <v>-11.75</v>
      </c>
      <c r="U144" s="83">
        <v>-9.8279999999999994</v>
      </c>
      <c r="V144" s="83">
        <v>-4.9340000000000002</v>
      </c>
      <c r="W144" s="83">
        <v>-19.908000000000001</v>
      </c>
      <c r="X144" s="83">
        <v>-15.856999999999999</v>
      </c>
      <c r="Y144" s="83">
        <v>-9.9770000000000003</v>
      </c>
      <c r="Z144" s="83">
        <v>-5.3579999999999997</v>
      </c>
      <c r="AA144" s="83">
        <v>-33.070999999999998</v>
      </c>
      <c r="AB144" s="83">
        <v>-23.123999999999999</v>
      </c>
      <c r="AC144" s="83">
        <v>-16.919</v>
      </c>
      <c r="AD144" s="83">
        <v>-8.0719999999999992</v>
      </c>
    </row>
    <row r="145" spans="1:30">
      <c r="A145" s="19" t="s">
        <v>110</v>
      </c>
      <c r="B145" s="289">
        <v>-1.6430000000000016</v>
      </c>
      <c r="C145" s="236">
        <v>-1.1259999999999994</v>
      </c>
      <c r="D145" s="236">
        <v>-2.7369999999999983</v>
      </c>
      <c r="E145" s="236">
        <v>1.8439999999999976</v>
      </c>
      <c r="F145" s="236">
        <v>-0.28899999999999793</v>
      </c>
      <c r="G145" s="236">
        <v>-0.43900000000000006</v>
      </c>
      <c r="H145" s="236">
        <v>0.78400000000000247</v>
      </c>
      <c r="I145" s="236">
        <v>-1.0859999999999985</v>
      </c>
      <c r="J145" s="236">
        <v>1.0819999999999981</v>
      </c>
      <c r="K145" s="236">
        <v>-0.24599999999999955</v>
      </c>
      <c r="L145" s="236">
        <v>-1.7239999999999966</v>
      </c>
      <c r="M145" s="236">
        <v>3.3270000000000017</v>
      </c>
      <c r="N145" s="236">
        <v>1.0339999999999971</v>
      </c>
      <c r="O145" s="236">
        <v>2.8310000000000013</v>
      </c>
      <c r="P145" s="83"/>
      <c r="Q145" s="288">
        <v>-2.769000000000001</v>
      </c>
      <c r="R145" s="83">
        <v>-1.1259999999999994</v>
      </c>
      <c r="S145" s="83">
        <v>-1.6209999999999987</v>
      </c>
      <c r="T145" s="83">
        <v>1.1159999999999997</v>
      </c>
      <c r="U145" s="83">
        <v>-0.72799999999999798</v>
      </c>
      <c r="V145" s="83">
        <v>-0.43900000000000006</v>
      </c>
      <c r="W145" s="83">
        <v>0.53400000000000247</v>
      </c>
      <c r="X145" s="83">
        <v>-0.25</v>
      </c>
      <c r="Y145" s="83">
        <v>0.83599999999999852</v>
      </c>
      <c r="Z145" s="83">
        <v>-0.24599999999999955</v>
      </c>
      <c r="AA145" s="83">
        <v>5.4680000000000035</v>
      </c>
      <c r="AB145" s="83">
        <v>7.1920000000000002</v>
      </c>
      <c r="AC145" s="83">
        <v>3.8649999999999984</v>
      </c>
      <c r="AD145" s="83">
        <v>2.8310000000000013</v>
      </c>
    </row>
    <row r="146" spans="1:30" ht="28.5" customHeight="1">
      <c r="A146" s="79" t="s">
        <v>459</v>
      </c>
      <c r="B146" s="179">
        <v>1.5009999999999999</v>
      </c>
      <c r="C146" s="77">
        <v>-0.99399999999999999</v>
      </c>
      <c r="D146" s="77">
        <v>-6.6080000000000005</v>
      </c>
      <c r="E146" s="77">
        <v>0.84600000000000009</v>
      </c>
      <c r="F146" s="77">
        <v>-1.4269999999999996</v>
      </c>
      <c r="G146" s="77">
        <v>-11.832000000000001</v>
      </c>
      <c r="H146" s="77">
        <v>-4.74</v>
      </c>
      <c r="I146" s="77">
        <v>0.82099999999999973</v>
      </c>
      <c r="J146" s="77">
        <v>-2.427999999999999</v>
      </c>
      <c r="K146" s="77">
        <v>-12.563000000000001</v>
      </c>
      <c r="L146" s="77">
        <v>-7.8089999999999975</v>
      </c>
      <c r="M146" s="77">
        <v>-12.501000000000001</v>
      </c>
      <c r="N146" s="77">
        <v>-8.3030000000000008</v>
      </c>
      <c r="O146" s="77">
        <v>-8.9819999999999993</v>
      </c>
      <c r="P146" s="81"/>
      <c r="Q146" s="287">
        <v>0.50700000000000001</v>
      </c>
      <c r="R146" s="81">
        <v>-0.99399999999999999</v>
      </c>
      <c r="S146" s="81">
        <v>-19.021000000000001</v>
      </c>
      <c r="T146" s="81">
        <v>-12.413</v>
      </c>
      <c r="U146" s="81">
        <v>-13.259</v>
      </c>
      <c r="V146" s="81">
        <v>-11.832000000000001</v>
      </c>
      <c r="W146" s="81">
        <v>-18.91</v>
      </c>
      <c r="X146" s="81">
        <v>-14.17</v>
      </c>
      <c r="Y146" s="81">
        <v>-14.991</v>
      </c>
      <c r="Z146" s="81">
        <v>-12.563000000000001</v>
      </c>
      <c r="AA146" s="81">
        <v>-37.594999999999999</v>
      </c>
      <c r="AB146" s="81">
        <v>-29.786000000000001</v>
      </c>
      <c r="AC146" s="81">
        <v>-17.285</v>
      </c>
      <c r="AD146" s="81">
        <v>-8.9819999999999993</v>
      </c>
    </row>
    <row r="147" spans="1:30">
      <c r="A147" s="38" t="s">
        <v>111</v>
      </c>
      <c r="B147" s="179">
        <v>0</v>
      </c>
      <c r="C147" s="77">
        <v>0</v>
      </c>
      <c r="D147" s="77">
        <v>0</v>
      </c>
      <c r="E147" s="77">
        <v>0</v>
      </c>
      <c r="F147" s="77">
        <v>0</v>
      </c>
      <c r="G147" s="77">
        <v>0</v>
      </c>
      <c r="H147" s="77">
        <v>0</v>
      </c>
      <c r="I147" s="77">
        <v>0</v>
      </c>
      <c r="J147" s="77">
        <v>0</v>
      </c>
      <c r="K147" s="77">
        <v>0</v>
      </c>
      <c r="L147" s="77">
        <v>0</v>
      </c>
      <c r="M147" s="77">
        <v>0</v>
      </c>
      <c r="N147" s="77">
        <v>0</v>
      </c>
      <c r="O147" s="77">
        <v>0</v>
      </c>
      <c r="P147" s="81"/>
      <c r="Q147" s="287">
        <v>0</v>
      </c>
      <c r="R147" s="81">
        <v>0</v>
      </c>
      <c r="S147" s="81">
        <v>0</v>
      </c>
      <c r="T147" s="81">
        <v>0</v>
      </c>
      <c r="U147" s="81">
        <v>0</v>
      </c>
      <c r="V147" s="81">
        <v>0</v>
      </c>
      <c r="W147" s="81">
        <v>0</v>
      </c>
      <c r="X147" s="81">
        <v>0</v>
      </c>
      <c r="Y147" s="81">
        <v>0</v>
      </c>
      <c r="Z147" s="81">
        <v>0</v>
      </c>
      <c r="AA147" s="81">
        <v>0</v>
      </c>
      <c r="AB147" s="81">
        <v>0</v>
      </c>
      <c r="AC147" s="81">
        <v>0</v>
      </c>
      <c r="AD147" s="81">
        <v>0</v>
      </c>
    </row>
    <row r="148" spans="1:30">
      <c r="A148" s="38" t="s">
        <v>112</v>
      </c>
      <c r="B148" s="179">
        <v>0</v>
      </c>
      <c r="C148" s="77">
        <v>0</v>
      </c>
      <c r="D148" s="77">
        <v>13.651</v>
      </c>
      <c r="E148" s="77">
        <v>0</v>
      </c>
      <c r="F148" s="77">
        <v>0</v>
      </c>
      <c r="G148" s="77">
        <v>0</v>
      </c>
      <c r="H148" s="77">
        <v>0</v>
      </c>
      <c r="I148" s="77">
        <v>0</v>
      </c>
      <c r="J148" s="77">
        <v>0</v>
      </c>
      <c r="K148" s="77">
        <v>0</v>
      </c>
      <c r="L148" s="77">
        <v>0</v>
      </c>
      <c r="M148" s="77">
        <v>0</v>
      </c>
      <c r="N148" s="77">
        <v>0</v>
      </c>
      <c r="O148" s="77">
        <v>0</v>
      </c>
      <c r="P148" s="81"/>
      <c r="Q148" s="287">
        <v>0</v>
      </c>
      <c r="R148" s="81">
        <v>0</v>
      </c>
      <c r="S148" s="81">
        <v>13.651</v>
      </c>
      <c r="T148" s="81">
        <v>0</v>
      </c>
      <c r="U148" s="81">
        <v>0</v>
      </c>
      <c r="V148" s="81">
        <v>0</v>
      </c>
      <c r="W148" s="81">
        <v>0</v>
      </c>
      <c r="X148" s="81">
        <v>0</v>
      </c>
      <c r="Y148" s="81">
        <v>0</v>
      </c>
      <c r="Z148" s="81">
        <v>0</v>
      </c>
      <c r="AA148" s="81">
        <v>0</v>
      </c>
      <c r="AB148" s="81">
        <v>0</v>
      </c>
      <c r="AC148" s="81">
        <v>0</v>
      </c>
      <c r="AD148" s="81">
        <v>0</v>
      </c>
    </row>
    <row r="149" spans="1:30">
      <c r="A149" s="38" t="s">
        <v>113</v>
      </c>
      <c r="B149" s="179">
        <v>0</v>
      </c>
      <c r="C149" s="77">
        <v>0</v>
      </c>
      <c r="D149" s="77">
        <v>0</v>
      </c>
      <c r="E149" s="77">
        <v>0</v>
      </c>
      <c r="F149" s="77">
        <v>0</v>
      </c>
      <c r="G149" s="77">
        <v>0</v>
      </c>
      <c r="H149" s="77">
        <v>0</v>
      </c>
      <c r="I149" s="77">
        <v>0</v>
      </c>
      <c r="J149" s="77">
        <v>0</v>
      </c>
      <c r="K149" s="77">
        <v>0</v>
      </c>
      <c r="L149" s="77">
        <v>0</v>
      </c>
      <c r="M149" s="77">
        <v>0</v>
      </c>
      <c r="N149" s="77">
        <v>0</v>
      </c>
      <c r="O149" s="77">
        <v>0</v>
      </c>
      <c r="P149" s="81"/>
      <c r="Q149" s="287">
        <v>0</v>
      </c>
      <c r="R149" s="81">
        <v>0</v>
      </c>
      <c r="S149" s="81">
        <v>0</v>
      </c>
      <c r="T149" s="81">
        <v>0</v>
      </c>
      <c r="U149" s="81">
        <v>0</v>
      </c>
      <c r="V149" s="81">
        <v>0</v>
      </c>
      <c r="W149" s="81">
        <v>0</v>
      </c>
      <c r="X149" s="81">
        <v>0</v>
      </c>
      <c r="Y149" s="81">
        <v>0</v>
      </c>
      <c r="Z149" s="81">
        <v>0</v>
      </c>
      <c r="AA149" s="81">
        <v>0</v>
      </c>
      <c r="AB149" s="81">
        <v>0</v>
      </c>
      <c r="AC149" s="81">
        <v>0</v>
      </c>
      <c r="AD149" s="81">
        <v>0</v>
      </c>
    </row>
    <row r="150" spans="1:30">
      <c r="A150" s="19" t="s">
        <v>114</v>
      </c>
      <c r="B150" s="289">
        <v>-0.14200000000000168</v>
      </c>
      <c r="C150" s="236">
        <v>-2.1199999999999992</v>
      </c>
      <c r="D150" s="236">
        <v>4.3060000000000009</v>
      </c>
      <c r="E150" s="236">
        <v>2.6899999999999977</v>
      </c>
      <c r="F150" s="236">
        <v>-1.7159999999999975</v>
      </c>
      <c r="G150" s="236">
        <v>-12.271000000000001</v>
      </c>
      <c r="H150" s="236">
        <v>-3.9559999999999977</v>
      </c>
      <c r="I150" s="236">
        <v>-0.26499999999999879</v>
      </c>
      <c r="J150" s="236">
        <v>-1.3460000000000001</v>
      </c>
      <c r="K150" s="236">
        <v>-12.809000000000001</v>
      </c>
      <c r="L150" s="236">
        <v>-9.5329999999999941</v>
      </c>
      <c r="M150" s="236">
        <v>-9.1739999999999995</v>
      </c>
      <c r="N150" s="236">
        <v>-7.2690000000000037</v>
      </c>
      <c r="O150" s="236">
        <v>-6.150999999999998</v>
      </c>
      <c r="P150" s="83"/>
      <c r="Q150" s="288">
        <v>-2.2620000000000009</v>
      </c>
      <c r="R150" s="83">
        <v>-2.1199999999999992</v>
      </c>
      <c r="S150" s="83">
        <v>-6.9909999999999997</v>
      </c>
      <c r="T150" s="83">
        <v>-11.297000000000001</v>
      </c>
      <c r="U150" s="83">
        <v>-13.986999999999998</v>
      </c>
      <c r="V150" s="83">
        <v>-12.271000000000001</v>
      </c>
      <c r="W150" s="83">
        <v>-18.375999999999998</v>
      </c>
      <c r="X150" s="83">
        <v>-14.42</v>
      </c>
      <c r="Y150" s="83">
        <v>-14.155000000000001</v>
      </c>
      <c r="Z150" s="83">
        <v>-12.809000000000001</v>
      </c>
      <c r="AA150" s="83">
        <v>-32.126999999999995</v>
      </c>
      <c r="AB150" s="83">
        <v>-22.594000000000001</v>
      </c>
      <c r="AC150" s="83">
        <v>-13.420000000000002</v>
      </c>
      <c r="AD150" s="83">
        <v>-6.150999999999998</v>
      </c>
    </row>
    <row r="151" spans="1:30">
      <c r="A151" s="38" t="s">
        <v>55</v>
      </c>
      <c r="B151" s="179">
        <v>1.775000000000021E-2</v>
      </c>
      <c r="C151" s="77">
        <v>0.2649999999999999</v>
      </c>
      <c r="D151" s="77">
        <v>-0.82067500000000004</v>
      </c>
      <c r="E151" s="77">
        <v>-0.40349999999999975</v>
      </c>
      <c r="F151" s="77">
        <v>0.25739999999999963</v>
      </c>
      <c r="G151" s="77">
        <v>1.8406500000000001</v>
      </c>
      <c r="H151" s="77">
        <v>0.49449999999999972</v>
      </c>
      <c r="I151" s="77">
        <v>3.3124999999999849E-2</v>
      </c>
      <c r="J151" s="77">
        <v>0.16825000000000001</v>
      </c>
      <c r="K151" s="77">
        <v>1.6011250000000001</v>
      </c>
      <c r="L151" s="77">
        <v>1.1916249999999993</v>
      </c>
      <c r="M151" s="77">
        <v>1.1467499999999999</v>
      </c>
      <c r="N151" s="77">
        <v>0.90862500000000046</v>
      </c>
      <c r="O151" s="77">
        <v>0.76887499999999975</v>
      </c>
      <c r="P151" s="81"/>
      <c r="Q151" s="287">
        <v>0.28275000000000011</v>
      </c>
      <c r="R151" s="81">
        <v>0.2649999999999999</v>
      </c>
      <c r="S151" s="81">
        <v>0.87387499999999996</v>
      </c>
      <c r="T151" s="81">
        <v>1.69455</v>
      </c>
      <c r="U151" s="81">
        <v>2.0980499999999997</v>
      </c>
      <c r="V151" s="81">
        <v>1.8406500000000001</v>
      </c>
      <c r="W151" s="81">
        <v>2.2969999999999997</v>
      </c>
      <c r="X151" s="81">
        <v>1.8025</v>
      </c>
      <c r="Y151" s="81">
        <v>1.7693750000000001</v>
      </c>
      <c r="Z151" s="81">
        <v>1.6011250000000001</v>
      </c>
      <c r="AA151" s="81">
        <v>4.0158749999999994</v>
      </c>
      <c r="AB151" s="81">
        <v>2.8242500000000001</v>
      </c>
      <c r="AC151" s="81">
        <v>1.6775000000000002</v>
      </c>
      <c r="AD151" s="81">
        <v>0.76887499999999975</v>
      </c>
    </row>
    <row r="152" spans="1:30">
      <c r="A152" s="38" t="s">
        <v>115</v>
      </c>
      <c r="B152" s="179">
        <v>0</v>
      </c>
      <c r="C152" s="77">
        <v>0</v>
      </c>
      <c r="D152" s="77">
        <v>0</v>
      </c>
      <c r="E152" s="77">
        <v>0</v>
      </c>
      <c r="F152" s="77">
        <v>0</v>
      </c>
      <c r="G152" s="77">
        <v>0</v>
      </c>
      <c r="H152" s="77">
        <v>0</v>
      </c>
      <c r="I152" s="77">
        <v>0</v>
      </c>
      <c r="J152" s="77">
        <v>0</v>
      </c>
      <c r="K152" s="77">
        <v>0</v>
      </c>
      <c r="L152" s="77">
        <v>0</v>
      </c>
      <c r="M152" s="77">
        <v>0</v>
      </c>
      <c r="N152" s="77">
        <v>0</v>
      </c>
      <c r="O152" s="77">
        <v>0</v>
      </c>
      <c r="P152" s="81"/>
      <c r="Q152" s="287">
        <v>0</v>
      </c>
      <c r="R152" s="81">
        <v>0</v>
      </c>
      <c r="S152" s="81">
        <v>0</v>
      </c>
      <c r="T152" s="81">
        <v>0</v>
      </c>
      <c r="U152" s="81">
        <v>0</v>
      </c>
      <c r="V152" s="81">
        <v>0</v>
      </c>
      <c r="W152" s="81">
        <v>0</v>
      </c>
      <c r="X152" s="81">
        <v>0</v>
      </c>
      <c r="Y152" s="81">
        <v>0</v>
      </c>
      <c r="Z152" s="81">
        <v>0</v>
      </c>
      <c r="AA152" s="81">
        <v>0</v>
      </c>
      <c r="AB152" s="81">
        <v>0</v>
      </c>
      <c r="AC152" s="81">
        <v>0</v>
      </c>
      <c r="AD152" s="81">
        <v>0</v>
      </c>
    </row>
    <row r="153" spans="1:30">
      <c r="A153" s="19" t="s">
        <v>116</v>
      </c>
      <c r="B153" s="289">
        <v>-0.12425000000000153</v>
      </c>
      <c r="C153" s="236">
        <v>-1.8549999999999993</v>
      </c>
      <c r="D153" s="236">
        <v>3.4853250000000013</v>
      </c>
      <c r="E153" s="236">
        <v>2.2864999999999966</v>
      </c>
      <c r="F153" s="236">
        <v>-1.458599999999997</v>
      </c>
      <c r="G153" s="236">
        <v>-10.430350000000001</v>
      </c>
      <c r="H153" s="236">
        <v>-3.4614999999999974</v>
      </c>
      <c r="I153" s="236">
        <v>-0.23187499999999872</v>
      </c>
      <c r="J153" s="236">
        <v>-1.1777499999999996</v>
      </c>
      <c r="K153" s="236">
        <v>-11.207875000000001</v>
      </c>
      <c r="L153" s="236">
        <v>-8.3413749999999922</v>
      </c>
      <c r="M153" s="236">
        <v>-8.0272500000000004</v>
      </c>
      <c r="N153" s="236">
        <v>-6.360375000000003</v>
      </c>
      <c r="O153" s="236">
        <v>-5.3821249999999985</v>
      </c>
      <c r="P153" s="83"/>
      <c r="Q153" s="288">
        <v>-1.9792500000000008</v>
      </c>
      <c r="R153" s="83">
        <v>-1.8549999999999993</v>
      </c>
      <c r="S153" s="83">
        <v>-6.1171249999999997</v>
      </c>
      <c r="T153" s="83">
        <v>-9.602450000000001</v>
      </c>
      <c r="U153" s="83">
        <v>-11.888949999999998</v>
      </c>
      <c r="V153" s="83">
        <v>-10.430350000000001</v>
      </c>
      <c r="W153" s="83">
        <v>-16.078999999999997</v>
      </c>
      <c r="X153" s="83">
        <v>-12.6175</v>
      </c>
      <c r="Y153" s="83">
        <v>-12.385625000000001</v>
      </c>
      <c r="Z153" s="83">
        <v>-11.207875000000001</v>
      </c>
      <c r="AA153" s="83">
        <v>-28.111124999999994</v>
      </c>
      <c r="AB153" s="83">
        <v>-19.769750000000002</v>
      </c>
      <c r="AC153" s="83">
        <v>-11.742500000000001</v>
      </c>
      <c r="AD153" s="83">
        <v>-5.3821249999999985</v>
      </c>
    </row>
    <row r="154" spans="1:30">
      <c r="A154" s="24"/>
      <c r="B154" s="24"/>
      <c r="C154" s="24"/>
      <c r="D154" s="24"/>
      <c r="E154" s="24"/>
      <c r="F154" s="24"/>
      <c r="G154" s="24"/>
      <c r="H154" s="24"/>
      <c r="I154" s="24"/>
      <c r="J154" s="24"/>
      <c r="K154" s="24"/>
      <c r="L154" s="24"/>
      <c r="M154" s="24"/>
      <c r="N154" s="24"/>
      <c r="O154" s="24"/>
      <c r="P154" s="86"/>
      <c r="Q154" s="125"/>
      <c r="R154" s="125"/>
      <c r="S154" s="125"/>
      <c r="T154" s="125"/>
      <c r="U154" s="125"/>
      <c r="V154" s="125"/>
      <c r="W154" s="125"/>
      <c r="X154" s="125"/>
      <c r="Y154" s="125"/>
      <c r="Z154" s="125"/>
      <c r="AA154" s="125"/>
      <c r="AB154" s="86"/>
      <c r="AC154" s="86"/>
      <c r="AD154" s="86"/>
    </row>
    <row r="155" spans="1:30">
      <c r="A155" s="19" t="s">
        <v>43</v>
      </c>
      <c r="B155" s="75" t="s">
        <v>629</v>
      </c>
      <c r="C155" s="75" t="s">
        <v>606</v>
      </c>
      <c r="D155" s="75" t="s">
        <v>593</v>
      </c>
      <c r="E155" s="75" t="s">
        <v>550</v>
      </c>
      <c r="F155" s="75" t="s">
        <v>524</v>
      </c>
      <c r="G155" s="75" t="s">
        <v>513</v>
      </c>
      <c r="H155" s="75" t="s">
        <v>502</v>
      </c>
      <c r="I155" s="75" t="s">
        <v>419</v>
      </c>
      <c r="J155" s="75" t="s">
        <v>401</v>
      </c>
      <c r="K155" s="75" t="s">
        <v>387</v>
      </c>
      <c r="L155" s="75" t="s">
        <v>476</v>
      </c>
      <c r="M155" s="75" t="s">
        <v>477</v>
      </c>
      <c r="N155" s="75" t="s">
        <v>478</v>
      </c>
      <c r="O155" s="75" t="s">
        <v>479</v>
      </c>
      <c r="P155" s="75"/>
      <c r="Q155" s="75" t="s">
        <v>630</v>
      </c>
      <c r="R155" s="75" t="s">
        <v>607</v>
      </c>
      <c r="S155" s="75" t="s">
        <v>594</v>
      </c>
      <c r="T155" s="75" t="s">
        <v>551</v>
      </c>
      <c r="U155" s="75" t="s">
        <v>525</v>
      </c>
      <c r="V155" s="75" t="s">
        <v>514</v>
      </c>
      <c r="W155" s="75" t="s">
        <v>503</v>
      </c>
      <c r="X155" s="75" t="s">
        <v>420</v>
      </c>
      <c r="Y155" s="75" t="s">
        <v>402</v>
      </c>
      <c r="Z155" s="75" t="s">
        <v>388</v>
      </c>
      <c r="AA155" s="75" t="s">
        <v>715</v>
      </c>
      <c r="AB155" s="75" t="s">
        <v>716</v>
      </c>
      <c r="AC155" s="75" t="s">
        <v>717</v>
      </c>
      <c r="AD155" s="75" t="s">
        <v>718</v>
      </c>
    </row>
    <row r="156" spans="1:30">
      <c r="A156" s="21" t="s">
        <v>17</v>
      </c>
      <c r="B156" s="21"/>
      <c r="C156" s="21"/>
      <c r="D156" s="21"/>
      <c r="E156" s="21"/>
      <c r="F156" s="21"/>
      <c r="G156" s="21"/>
      <c r="H156" s="21"/>
      <c r="I156" s="21"/>
      <c r="J156" s="21"/>
      <c r="K156" s="21"/>
      <c r="L156" s="21"/>
      <c r="M156" s="21"/>
      <c r="N156" s="21"/>
      <c r="O156" s="21"/>
      <c r="P156" s="85"/>
      <c r="Q156" s="85"/>
      <c r="R156" s="85"/>
      <c r="S156" s="85"/>
      <c r="T156" s="85"/>
      <c r="U156" s="85"/>
      <c r="V156" s="85"/>
      <c r="W156" s="85"/>
      <c r="X156" s="85"/>
      <c r="Y156" s="85"/>
      <c r="Z156" s="85"/>
      <c r="AA156" s="85"/>
      <c r="AB156" s="85"/>
      <c r="AC156" s="85"/>
      <c r="AD156" s="85"/>
    </row>
    <row r="157" spans="1:30">
      <c r="A157" s="38" t="s">
        <v>44</v>
      </c>
      <c r="B157" s="179">
        <v>-1.9279999999999999</v>
      </c>
      <c r="C157" s="77">
        <v>-2.5979999999999999</v>
      </c>
      <c r="D157" s="77">
        <v>-3.4110000000000014</v>
      </c>
      <c r="E157" s="77">
        <v>-5.7749999999999986</v>
      </c>
      <c r="F157" s="77">
        <v>-6.636000000000001</v>
      </c>
      <c r="G157" s="77">
        <v>-7.0679999999999996</v>
      </c>
      <c r="H157" s="77">
        <v>-7.1609999999999978</v>
      </c>
      <c r="I157" s="77">
        <v>-7.8679999999999986</v>
      </c>
      <c r="J157" s="77">
        <v>-9.338000000000001</v>
      </c>
      <c r="K157" s="77">
        <v>-10.012</v>
      </c>
      <c r="L157" s="77">
        <v>-12.233000000000004</v>
      </c>
      <c r="M157" s="77">
        <v>-10.084999999999999</v>
      </c>
      <c r="N157" s="77">
        <v>-7.9429999999999996</v>
      </c>
      <c r="O157" s="77">
        <v>-4.4329999999999998</v>
      </c>
      <c r="P157" s="81"/>
      <c r="Q157" s="287">
        <v>-4.5259999999999998</v>
      </c>
      <c r="R157" s="81">
        <v>-2.5979999999999999</v>
      </c>
      <c r="S157" s="81">
        <v>-22.89</v>
      </c>
      <c r="T157" s="81">
        <v>-19.478999999999999</v>
      </c>
      <c r="U157" s="81">
        <v>-13.704000000000001</v>
      </c>
      <c r="V157" s="81">
        <v>-7.0679999999999996</v>
      </c>
      <c r="W157" s="81">
        <v>-34.378999999999998</v>
      </c>
      <c r="X157" s="81">
        <v>-27.218</v>
      </c>
      <c r="Y157" s="81">
        <v>-19.350000000000001</v>
      </c>
      <c r="Z157" s="81">
        <v>-10.012</v>
      </c>
      <c r="AA157" s="81">
        <v>-34.694000000000003</v>
      </c>
      <c r="AB157" s="81">
        <v>-22.460999999999999</v>
      </c>
      <c r="AC157" s="81">
        <v>-12.375999999999999</v>
      </c>
      <c r="AD157" s="81">
        <v>-4.4329999999999998</v>
      </c>
    </row>
    <row r="158" spans="1:30">
      <c r="A158" s="38" t="s">
        <v>109</v>
      </c>
      <c r="B158" s="179">
        <v>-1.4000000000000002E-2</v>
      </c>
      <c r="C158" s="77">
        <v>-0.02</v>
      </c>
      <c r="D158" s="77">
        <v>-1.6E-2</v>
      </c>
      <c r="E158" s="77">
        <v>-2.2000000000000006E-2</v>
      </c>
      <c r="F158" s="77">
        <v>-1.8000000000000002E-2</v>
      </c>
      <c r="G158" s="77">
        <v>-4.2999999999999997E-2</v>
      </c>
      <c r="H158" s="77">
        <v>-0.109</v>
      </c>
      <c r="I158" s="77">
        <v>-2.7999999999999997E-2</v>
      </c>
      <c r="J158" s="77">
        <v>-3.3999999999999996E-2</v>
      </c>
      <c r="K158" s="77">
        <v>-4.1000000000000002E-2</v>
      </c>
      <c r="L158" s="77">
        <v>-0.16999999999999998</v>
      </c>
      <c r="M158" s="77">
        <v>-4.0000000000000001E-3</v>
      </c>
      <c r="N158" s="77">
        <v>-1E-3</v>
      </c>
      <c r="O158" s="77">
        <v>0</v>
      </c>
      <c r="P158" s="81"/>
      <c r="Q158" s="287">
        <v>-3.4000000000000002E-2</v>
      </c>
      <c r="R158" s="81">
        <v>-0.02</v>
      </c>
      <c r="S158" s="81">
        <v>-9.9000000000000005E-2</v>
      </c>
      <c r="T158" s="81">
        <v>-8.3000000000000004E-2</v>
      </c>
      <c r="U158" s="81">
        <v>-6.0999999999999999E-2</v>
      </c>
      <c r="V158" s="81">
        <v>-4.2999999999999997E-2</v>
      </c>
      <c r="W158" s="81">
        <v>-0.21199999999999999</v>
      </c>
      <c r="X158" s="81">
        <v>-0.10299999999999999</v>
      </c>
      <c r="Y158" s="81">
        <v>-7.4999999999999997E-2</v>
      </c>
      <c r="Z158" s="81">
        <v>-4.1000000000000002E-2</v>
      </c>
      <c r="AA158" s="81">
        <v>-0.17499999999999999</v>
      </c>
      <c r="AB158" s="81">
        <v>-5.0000000000000001E-3</v>
      </c>
      <c r="AC158" s="81">
        <v>-1E-3</v>
      </c>
      <c r="AD158" s="81">
        <v>0</v>
      </c>
    </row>
    <row r="159" spans="1:30">
      <c r="A159" s="38" t="s">
        <v>46</v>
      </c>
      <c r="B159" s="179">
        <v>6.4329999999999998</v>
      </c>
      <c r="C159" s="77">
        <v>2.2250000000000001</v>
      </c>
      <c r="D159" s="77">
        <v>-2.7629999999999999</v>
      </c>
      <c r="E159" s="77">
        <v>3.3490000000000002</v>
      </c>
      <c r="F159" s="77">
        <v>1.9649999999999999</v>
      </c>
      <c r="G159" s="77">
        <v>2.3490000000000002</v>
      </c>
      <c r="H159" s="77">
        <v>5.458000000000002</v>
      </c>
      <c r="I159" s="77">
        <v>1.8409999999999993</v>
      </c>
      <c r="J159" s="77">
        <v>6.1690000000000005</v>
      </c>
      <c r="K159" s="77">
        <v>4.0999999999999996</v>
      </c>
      <c r="L159" s="77">
        <v>9.8510000000000009</v>
      </c>
      <c r="M159" s="77">
        <v>3.8439999999999994</v>
      </c>
      <c r="N159" s="77">
        <v>5.1590000000000007</v>
      </c>
      <c r="O159" s="77">
        <v>6.67</v>
      </c>
      <c r="P159" s="81"/>
      <c r="Q159" s="287">
        <v>8.6579999999999995</v>
      </c>
      <c r="R159" s="81">
        <v>2.2250000000000001</v>
      </c>
      <c r="S159" s="81">
        <v>4.9000000000000004</v>
      </c>
      <c r="T159" s="81">
        <v>7.6630000000000003</v>
      </c>
      <c r="U159" s="81">
        <v>4.3140000000000001</v>
      </c>
      <c r="V159" s="81">
        <v>2.3490000000000002</v>
      </c>
      <c r="W159" s="81">
        <v>17.568000000000001</v>
      </c>
      <c r="X159" s="81">
        <v>12.11</v>
      </c>
      <c r="Y159" s="81">
        <v>10.269</v>
      </c>
      <c r="Z159" s="81">
        <v>4.0999999999999996</v>
      </c>
      <c r="AA159" s="81">
        <v>25.524000000000001</v>
      </c>
      <c r="AB159" s="81">
        <v>15.673</v>
      </c>
      <c r="AC159" s="81">
        <v>11.829000000000001</v>
      </c>
      <c r="AD159" s="81">
        <v>6.67</v>
      </c>
    </row>
    <row r="160" spans="1:30">
      <c r="A160" s="19" t="s">
        <v>47</v>
      </c>
      <c r="B160" s="289">
        <v>4.4909999999999997</v>
      </c>
      <c r="C160" s="236">
        <v>-0.39299999999999979</v>
      </c>
      <c r="D160" s="236">
        <v>-6.1900000000000013</v>
      </c>
      <c r="E160" s="236">
        <v>-2.4479999999999968</v>
      </c>
      <c r="F160" s="236">
        <v>-4.6890000000000009</v>
      </c>
      <c r="G160" s="236">
        <v>-4.7619999999999996</v>
      </c>
      <c r="H160" s="236">
        <v>-1.8119999999999976</v>
      </c>
      <c r="I160" s="236">
        <v>-6.0550000000000015</v>
      </c>
      <c r="J160" s="236">
        <v>-3.2029999999999994</v>
      </c>
      <c r="K160" s="236">
        <v>-5.9530000000000012</v>
      </c>
      <c r="L160" s="236">
        <v>-2.5520000000000014</v>
      </c>
      <c r="M160" s="236">
        <v>-6.2449999999999992</v>
      </c>
      <c r="N160" s="236">
        <v>-2.7849999999999984</v>
      </c>
      <c r="O160" s="236">
        <v>2.2370000000000001</v>
      </c>
      <c r="P160" s="83"/>
      <c r="Q160" s="288">
        <v>4.0979999999999999</v>
      </c>
      <c r="R160" s="83">
        <v>-0.39299999999999979</v>
      </c>
      <c r="S160" s="83">
        <v>-18.088999999999999</v>
      </c>
      <c r="T160" s="83">
        <v>-11.898999999999997</v>
      </c>
      <c r="U160" s="83">
        <v>-9.4510000000000005</v>
      </c>
      <c r="V160" s="83">
        <v>-4.7619999999999996</v>
      </c>
      <c r="W160" s="83">
        <v>-17.023</v>
      </c>
      <c r="X160" s="83">
        <v>-15.211000000000002</v>
      </c>
      <c r="Y160" s="83">
        <v>-9.1560000000000006</v>
      </c>
      <c r="Z160" s="83">
        <v>-5.9530000000000012</v>
      </c>
      <c r="AA160" s="83">
        <v>-9.3449999999999989</v>
      </c>
      <c r="AB160" s="83">
        <v>-6.7929999999999975</v>
      </c>
      <c r="AC160" s="83">
        <v>-0.54799999999999827</v>
      </c>
      <c r="AD160" s="83">
        <v>2.2370000000000001</v>
      </c>
    </row>
    <row r="161" spans="1:30">
      <c r="A161" s="19" t="s">
        <v>50</v>
      </c>
      <c r="B161" s="289">
        <v>-4.1549999999999994</v>
      </c>
      <c r="C161" s="236">
        <v>-3.4609999999999999</v>
      </c>
      <c r="D161" s="236">
        <v>-4.8870000000000005</v>
      </c>
      <c r="E161" s="236">
        <v>-4.745000000000001</v>
      </c>
      <c r="F161" s="236">
        <v>-4.4589999999999996</v>
      </c>
      <c r="G161" s="236">
        <v>-4.1449999999999996</v>
      </c>
      <c r="H161" s="236">
        <v>-5.3030000000000008</v>
      </c>
      <c r="I161" s="236">
        <v>-4.7739999999999991</v>
      </c>
      <c r="J161" s="236">
        <v>-4.7480000000000002</v>
      </c>
      <c r="K161" s="236">
        <v>-4.5940000000000003</v>
      </c>
      <c r="L161" s="236">
        <v>-5.9920000000000009</v>
      </c>
      <c r="M161" s="236">
        <v>-5.9359999999999982</v>
      </c>
      <c r="N161" s="236">
        <v>-5.4240000000000004</v>
      </c>
      <c r="O161" s="236">
        <v>-4.8159999999999998</v>
      </c>
      <c r="P161" s="83"/>
      <c r="Q161" s="288">
        <v>-7.6159999999999997</v>
      </c>
      <c r="R161" s="83">
        <v>-3.4609999999999999</v>
      </c>
      <c r="S161" s="83">
        <v>-18.236000000000001</v>
      </c>
      <c r="T161" s="83">
        <v>-13.349</v>
      </c>
      <c r="U161" s="83">
        <v>-8.6039999999999992</v>
      </c>
      <c r="V161" s="83">
        <v>-4.1449999999999996</v>
      </c>
      <c r="W161" s="83">
        <v>-19.419</v>
      </c>
      <c r="X161" s="83">
        <v>-14.116</v>
      </c>
      <c r="Y161" s="83">
        <v>-9.3420000000000005</v>
      </c>
      <c r="Z161" s="83">
        <v>-4.5940000000000003</v>
      </c>
      <c r="AA161" s="83">
        <v>-22.167999999999999</v>
      </c>
      <c r="AB161" s="83">
        <v>-16.175999999999998</v>
      </c>
      <c r="AC161" s="83">
        <v>-10.24</v>
      </c>
      <c r="AD161" s="83">
        <v>-4.8159999999999998</v>
      </c>
    </row>
    <row r="162" spans="1:30">
      <c r="A162" s="19" t="s">
        <v>110</v>
      </c>
      <c r="B162" s="289">
        <v>0.33599999999999985</v>
      </c>
      <c r="C162" s="236">
        <v>-3.8539999999999996</v>
      </c>
      <c r="D162" s="236">
        <v>-11.077000000000005</v>
      </c>
      <c r="E162" s="236">
        <v>-7.1929999999999978</v>
      </c>
      <c r="F162" s="236">
        <v>-9.1479999999999997</v>
      </c>
      <c r="G162" s="236">
        <v>-8.907</v>
      </c>
      <c r="H162" s="236">
        <v>-7.1149999999999984</v>
      </c>
      <c r="I162" s="236">
        <v>-10.829000000000001</v>
      </c>
      <c r="J162" s="236">
        <v>-7.9510000000000005</v>
      </c>
      <c r="K162" s="236">
        <v>-10.547000000000001</v>
      </c>
      <c r="L162" s="236">
        <v>-8.544000000000004</v>
      </c>
      <c r="M162" s="236">
        <v>-12.180999999999996</v>
      </c>
      <c r="N162" s="236">
        <v>-8.2089999999999996</v>
      </c>
      <c r="O162" s="236">
        <v>-2.5789999999999997</v>
      </c>
      <c r="P162" s="83"/>
      <c r="Q162" s="288">
        <v>-3.5179999999999998</v>
      </c>
      <c r="R162" s="83">
        <v>-3.8539999999999996</v>
      </c>
      <c r="S162" s="83">
        <v>-36.325000000000003</v>
      </c>
      <c r="T162" s="83">
        <v>-25.247999999999998</v>
      </c>
      <c r="U162" s="83">
        <v>-18.055</v>
      </c>
      <c r="V162" s="83">
        <v>-8.907</v>
      </c>
      <c r="W162" s="83">
        <v>-36.442</v>
      </c>
      <c r="X162" s="83">
        <v>-29.327000000000002</v>
      </c>
      <c r="Y162" s="83">
        <v>-18.498000000000001</v>
      </c>
      <c r="Z162" s="83">
        <v>-10.547000000000001</v>
      </c>
      <c r="AA162" s="83">
        <v>-31.512999999999998</v>
      </c>
      <c r="AB162" s="83">
        <v>-22.968999999999994</v>
      </c>
      <c r="AC162" s="83">
        <v>-10.787999999999998</v>
      </c>
      <c r="AD162" s="83">
        <v>-2.5789999999999997</v>
      </c>
    </row>
    <row r="163" spans="1:30" ht="28.5" customHeight="1">
      <c r="A163" s="79" t="s">
        <v>459</v>
      </c>
      <c r="B163" s="179">
        <v>0</v>
      </c>
      <c r="C163" s="77">
        <v>0</v>
      </c>
      <c r="D163" s="77">
        <v>0</v>
      </c>
      <c r="E163" s="77">
        <v>0</v>
      </c>
      <c r="F163" s="77">
        <v>0</v>
      </c>
      <c r="G163" s="77">
        <v>0</v>
      </c>
      <c r="H163" s="77">
        <v>0</v>
      </c>
      <c r="I163" s="77">
        <v>0</v>
      </c>
      <c r="J163" s="77">
        <v>0</v>
      </c>
      <c r="K163" s="77">
        <v>0</v>
      </c>
      <c r="L163" s="77">
        <v>-1.5</v>
      </c>
      <c r="M163" s="77">
        <v>0</v>
      </c>
      <c r="N163" s="77">
        <v>0</v>
      </c>
      <c r="O163" s="77">
        <v>0</v>
      </c>
      <c r="P163" s="81"/>
      <c r="Q163" s="287">
        <v>0</v>
      </c>
      <c r="R163" s="81">
        <v>0</v>
      </c>
      <c r="S163" s="81">
        <v>0</v>
      </c>
      <c r="T163" s="81">
        <v>0</v>
      </c>
      <c r="U163" s="81">
        <v>0</v>
      </c>
      <c r="V163" s="81">
        <v>0</v>
      </c>
      <c r="W163" s="81">
        <v>0</v>
      </c>
      <c r="X163" s="81">
        <v>0</v>
      </c>
      <c r="Y163" s="81">
        <v>0</v>
      </c>
      <c r="Z163" s="81">
        <v>0</v>
      </c>
      <c r="AA163" s="81">
        <v>-1.5</v>
      </c>
      <c r="AB163" s="81">
        <v>0</v>
      </c>
      <c r="AC163" s="81">
        <v>0</v>
      </c>
      <c r="AD163" s="81">
        <v>0</v>
      </c>
    </row>
    <row r="164" spans="1:30">
      <c r="A164" s="38" t="s">
        <v>111</v>
      </c>
      <c r="B164" s="179">
        <v>-4.593</v>
      </c>
      <c r="C164" s="77">
        <v>-10.004</v>
      </c>
      <c r="D164" s="77">
        <v>-17.287999999999997</v>
      </c>
      <c r="E164" s="77">
        <v>-14.267000000000003</v>
      </c>
      <c r="F164" s="77">
        <v>-11.111000000000001</v>
      </c>
      <c r="G164" s="77">
        <v>-8.4589999999999996</v>
      </c>
      <c r="H164" s="77">
        <v>-14.470999999999997</v>
      </c>
      <c r="I164" s="77">
        <v>-7.7850000000000001</v>
      </c>
      <c r="J164" s="77">
        <v>-18.715000000000003</v>
      </c>
      <c r="K164" s="77">
        <v>-10.597</v>
      </c>
      <c r="L164" s="77">
        <v>-12.178000000000001</v>
      </c>
      <c r="M164" s="77">
        <v>-6.0439999999999996</v>
      </c>
      <c r="N164" s="77">
        <v>-3.24</v>
      </c>
      <c r="O164" s="77">
        <v>-3.9630000000000001</v>
      </c>
      <c r="P164" s="81"/>
      <c r="Q164" s="287">
        <v>-14.597</v>
      </c>
      <c r="R164" s="81">
        <v>-10.004</v>
      </c>
      <c r="S164" s="81">
        <v>-51.125</v>
      </c>
      <c r="T164" s="81">
        <v>-33.837000000000003</v>
      </c>
      <c r="U164" s="81">
        <v>-19.57</v>
      </c>
      <c r="V164" s="81">
        <v>-8.4589999999999996</v>
      </c>
      <c r="W164" s="81">
        <v>-51.567999999999998</v>
      </c>
      <c r="X164" s="81">
        <v>-37.097000000000001</v>
      </c>
      <c r="Y164" s="81">
        <v>-29.312000000000001</v>
      </c>
      <c r="Z164" s="81">
        <v>-10.597</v>
      </c>
      <c r="AA164" s="81">
        <v>-25.425000000000001</v>
      </c>
      <c r="AB164" s="81">
        <v>-13.247</v>
      </c>
      <c r="AC164" s="81">
        <v>-7.2030000000000003</v>
      </c>
      <c r="AD164" s="81">
        <v>-3.9630000000000001</v>
      </c>
    </row>
    <row r="165" spans="1:30">
      <c r="A165" s="38" t="s">
        <v>112</v>
      </c>
      <c r="B165" s="179">
        <v>0</v>
      </c>
      <c r="C165" s="77">
        <v>0</v>
      </c>
      <c r="D165" s="77">
        <v>0</v>
      </c>
      <c r="E165" s="77">
        <v>0</v>
      </c>
      <c r="F165" s="77">
        <v>0</v>
      </c>
      <c r="G165" s="77">
        <v>0</v>
      </c>
      <c r="H165" s="77">
        <v>0</v>
      </c>
      <c r="I165" s="77">
        <v>0</v>
      </c>
      <c r="J165" s="77">
        <v>0</v>
      </c>
      <c r="K165" s="77">
        <v>0</v>
      </c>
      <c r="L165" s="77">
        <v>0</v>
      </c>
      <c r="M165" s="77">
        <v>0</v>
      </c>
      <c r="N165" s="77">
        <v>0</v>
      </c>
      <c r="O165" s="77">
        <v>0</v>
      </c>
      <c r="P165" s="81"/>
      <c r="Q165" s="287">
        <v>0</v>
      </c>
      <c r="R165" s="81">
        <v>0</v>
      </c>
      <c r="S165" s="81">
        <v>0</v>
      </c>
      <c r="T165" s="81">
        <v>0</v>
      </c>
      <c r="U165" s="81">
        <v>0</v>
      </c>
      <c r="V165" s="81">
        <v>0</v>
      </c>
      <c r="W165" s="81">
        <v>0</v>
      </c>
      <c r="X165" s="81">
        <v>0</v>
      </c>
      <c r="Y165" s="81">
        <v>0</v>
      </c>
      <c r="Z165" s="81">
        <v>0</v>
      </c>
      <c r="AA165" s="81">
        <v>0</v>
      </c>
      <c r="AB165" s="81">
        <v>0</v>
      </c>
      <c r="AC165" s="81">
        <v>0</v>
      </c>
      <c r="AD165" s="81">
        <v>0</v>
      </c>
    </row>
    <row r="166" spans="1:30">
      <c r="A166" s="38" t="s">
        <v>113</v>
      </c>
      <c r="B166" s="179">
        <v>0</v>
      </c>
      <c r="C166" s="77">
        <v>0</v>
      </c>
      <c r="D166" s="77">
        <v>0</v>
      </c>
      <c r="E166" s="77">
        <v>0</v>
      </c>
      <c r="F166" s="77">
        <v>0</v>
      </c>
      <c r="G166" s="77">
        <v>0</v>
      </c>
      <c r="H166" s="77">
        <v>0</v>
      </c>
      <c r="I166" s="77">
        <v>0</v>
      </c>
      <c r="J166" s="77">
        <v>0</v>
      </c>
      <c r="K166" s="77">
        <v>0</v>
      </c>
      <c r="L166" s="77">
        <v>0</v>
      </c>
      <c r="M166" s="77">
        <v>0</v>
      </c>
      <c r="N166" s="77">
        <v>0</v>
      </c>
      <c r="O166" s="77">
        <v>0</v>
      </c>
      <c r="P166" s="81"/>
      <c r="Q166" s="287">
        <v>0</v>
      </c>
      <c r="R166" s="81">
        <v>0</v>
      </c>
      <c r="S166" s="81">
        <v>0</v>
      </c>
      <c r="T166" s="81">
        <v>0</v>
      </c>
      <c r="U166" s="81">
        <v>0</v>
      </c>
      <c r="V166" s="81">
        <v>0</v>
      </c>
      <c r="W166" s="81">
        <v>0</v>
      </c>
      <c r="X166" s="81">
        <v>0</v>
      </c>
      <c r="Y166" s="81">
        <v>0</v>
      </c>
      <c r="Z166" s="81">
        <v>0</v>
      </c>
      <c r="AA166" s="81">
        <v>0</v>
      </c>
      <c r="AB166" s="81">
        <v>0</v>
      </c>
      <c r="AC166" s="81">
        <v>0</v>
      </c>
      <c r="AD166" s="81">
        <v>0</v>
      </c>
    </row>
    <row r="167" spans="1:30">
      <c r="A167" s="19" t="s">
        <v>114</v>
      </c>
      <c r="B167" s="289">
        <v>-4.2569999999999997</v>
      </c>
      <c r="C167" s="236">
        <v>-13.857999999999999</v>
      </c>
      <c r="D167" s="236">
        <v>-28.365000000000002</v>
      </c>
      <c r="E167" s="236">
        <v>-21.46</v>
      </c>
      <c r="F167" s="236">
        <v>-20.259</v>
      </c>
      <c r="G167" s="236">
        <v>-17.366</v>
      </c>
      <c r="H167" s="236">
        <v>-21.585999999999984</v>
      </c>
      <c r="I167" s="236">
        <v>-18.614000000000004</v>
      </c>
      <c r="J167" s="236">
        <v>-26.666000000000004</v>
      </c>
      <c r="K167" s="236">
        <v>-21.143999999999998</v>
      </c>
      <c r="L167" s="236">
        <v>-22.222000000000008</v>
      </c>
      <c r="M167" s="236">
        <v>-18.224999999999994</v>
      </c>
      <c r="N167" s="236">
        <v>-11.449</v>
      </c>
      <c r="O167" s="236">
        <v>-6.5419999999999998</v>
      </c>
      <c r="P167" s="83"/>
      <c r="Q167" s="288">
        <v>-18.114999999999998</v>
      </c>
      <c r="R167" s="83">
        <v>-13.857999999999999</v>
      </c>
      <c r="S167" s="83">
        <v>-87.45</v>
      </c>
      <c r="T167" s="83">
        <v>-59.085000000000001</v>
      </c>
      <c r="U167" s="83">
        <v>-37.625</v>
      </c>
      <c r="V167" s="83">
        <v>-17.366</v>
      </c>
      <c r="W167" s="83">
        <v>-88.009999999999991</v>
      </c>
      <c r="X167" s="83">
        <v>-66.424000000000007</v>
      </c>
      <c r="Y167" s="83">
        <v>-47.81</v>
      </c>
      <c r="Z167" s="83">
        <v>-21.143999999999998</v>
      </c>
      <c r="AA167" s="83">
        <v>-58.438000000000002</v>
      </c>
      <c r="AB167" s="83">
        <v>-36.215999999999994</v>
      </c>
      <c r="AC167" s="83">
        <v>-17.991</v>
      </c>
      <c r="AD167" s="83">
        <v>-6.5419999999999998</v>
      </c>
    </row>
    <row r="168" spans="1:30">
      <c r="A168" s="38" t="s">
        <v>55</v>
      </c>
      <c r="B168" s="179">
        <v>-5.7102500000000003</v>
      </c>
      <c r="C168" s="77">
        <v>1.7322499999999998</v>
      </c>
      <c r="D168" s="77">
        <v>2.0685000000000002</v>
      </c>
      <c r="E168" s="77">
        <v>3.2190000000000003</v>
      </c>
      <c r="F168" s="77">
        <v>3.0388500000000001</v>
      </c>
      <c r="G168" s="77">
        <v>2.6048999999999998</v>
      </c>
      <c r="H168" s="77">
        <v>2.698249999999998</v>
      </c>
      <c r="I168" s="77">
        <v>2.3267500000000005</v>
      </c>
      <c r="J168" s="77">
        <v>3.3332500000000005</v>
      </c>
      <c r="K168" s="77">
        <v>2.6429999999999998</v>
      </c>
      <c r="L168" s="77">
        <v>2.7777500000000011</v>
      </c>
      <c r="M168" s="77">
        <v>2.2781249999999993</v>
      </c>
      <c r="N168" s="77">
        <v>1.431125</v>
      </c>
      <c r="O168" s="77">
        <v>0.81774999999999998</v>
      </c>
      <c r="P168" s="81"/>
      <c r="Q168" s="287">
        <v>-3.9780000000000002</v>
      </c>
      <c r="R168" s="81">
        <v>1.7322499999999998</v>
      </c>
      <c r="S168" s="81">
        <v>10.93125</v>
      </c>
      <c r="T168" s="81">
        <v>8.8627500000000001</v>
      </c>
      <c r="U168" s="81">
        <v>5.6437499999999998</v>
      </c>
      <c r="V168" s="81">
        <v>2.6048999999999998</v>
      </c>
      <c r="W168" s="81">
        <v>11.001249999999999</v>
      </c>
      <c r="X168" s="81">
        <v>8.3030000000000008</v>
      </c>
      <c r="Y168" s="81">
        <v>5.9762500000000003</v>
      </c>
      <c r="Z168" s="81">
        <v>2.6429999999999998</v>
      </c>
      <c r="AA168" s="81">
        <v>7.3047500000000003</v>
      </c>
      <c r="AB168" s="81">
        <v>4.5269999999999992</v>
      </c>
      <c r="AC168" s="81">
        <v>2.248875</v>
      </c>
      <c r="AD168" s="81">
        <v>0.81774999999999998</v>
      </c>
    </row>
    <row r="169" spans="1:30">
      <c r="A169" s="38" t="s">
        <v>115</v>
      </c>
      <c r="B169" s="179">
        <v>0</v>
      </c>
      <c r="C169" s="77">
        <v>0</v>
      </c>
      <c r="D169" s="77">
        <v>2.2149000000000001</v>
      </c>
      <c r="E169" s="77">
        <v>0</v>
      </c>
      <c r="F169" s="77">
        <v>0</v>
      </c>
      <c r="G169" s="77">
        <v>0</v>
      </c>
      <c r="H169" s="77">
        <v>0</v>
      </c>
      <c r="I169" s="77">
        <v>0</v>
      </c>
      <c r="J169" s="77">
        <v>0</v>
      </c>
      <c r="K169" s="77">
        <v>0</v>
      </c>
      <c r="L169" s="77">
        <v>0</v>
      </c>
      <c r="M169" s="77">
        <v>0</v>
      </c>
      <c r="N169" s="77">
        <v>0</v>
      </c>
      <c r="O169" s="77">
        <v>0</v>
      </c>
      <c r="P169" s="81"/>
      <c r="Q169" s="287">
        <v>0</v>
      </c>
      <c r="R169" s="81">
        <v>0</v>
      </c>
      <c r="S169" s="81">
        <v>2.2149000000000001</v>
      </c>
      <c r="T169" s="81">
        <v>0</v>
      </c>
      <c r="U169" s="81">
        <v>0</v>
      </c>
      <c r="V169" s="81">
        <v>0</v>
      </c>
      <c r="W169" s="81">
        <v>0</v>
      </c>
      <c r="X169" s="81">
        <v>0</v>
      </c>
      <c r="Y169" s="81">
        <v>0</v>
      </c>
      <c r="Z169" s="81">
        <v>0</v>
      </c>
      <c r="AA169" s="81">
        <v>0</v>
      </c>
      <c r="AB169" s="81">
        <v>0</v>
      </c>
      <c r="AC169" s="81">
        <v>0</v>
      </c>
      <c r="AD169" s="81">
        <v>0</v>
      </c>
    </row>
    <row r="170" spans="1:30">
      <c r="A170" s="19" t="s">
        <v>116</v>
      </c>
      <c r="B170" s="289">
        <v>-9.9672500000000017</v>
      </c>
      <c r="C170" s="236">
        <v>-12.125749999999998</v>
      </c>
      <c r="D170" s="236">
        <v>-24.081599999999995</v>
      </c>
      <c r="E170" s="236">
        <v>-18.241000000000003</v>
      </c>
      <c r="F170" s="236">
        <v>-17.22015</v>
      </c>
      <c r="G170" s="236">
        <v>-14.761099999999999</v>
      </c>
      <c r="H170" s="236">
        <v>-18.887749999999983</v>
      </c>
      <c r="I170" s="236">
        <v>-16.287250000000007</v>
      </c>
      <c r="J170" s="236">
        <v>-23.332750000000004</v>
      </c>
      <c r="K170" s="236">
        <v>-18.500999999999998</v>
      </c>
      <c r="L170" s="236">
        <v>-19.444250000000011</v>
      </c>
      <c r="M170" s="236">
        <v>-15.946874999999993</v>
      </c>
      <c r="N170" s="236">
        <v>-10.017875</v>
      </c>
      <c r="O170" s="236">
        <v>-5.7242499999999996</v>
      </c>
      <c r="P170" s="83"/>
      <c r="Q170" s="288">
        <v>-22.093</v>
      </c>
      <c r="R170" s="83">
        <v>-12.125749999999998</v>
      </c>
      <c r="S170" s="83">
        <v>-74.303849999999997</v>
      </c>
      <c r="T170" s="83">
        <v>-50.222250000000003</v>
      </c>
      <c r="U170" s="83">
        <v>-31.981249999999999</v>
      </c>
      <c r="V170" s="83">
        <v>-14.761099999999999</v>
      </c>
      <c r="W170" s="83">
        <v>-77.008749999999992</v>
      </c>
      <c r="X170" s="83">
        <v>-58.121000000000009</v>
      </c>
      <c r="Y170" s="83">
        <v>-41.833750000000002</v>
      </c>
      <c r="Z170" s="83">
        <v>-18.500999999999998</v>
      </c>
      <c r="AA170" s="83">
        <v>-51.133250000000004</v>
      </c>
      <c r="AB170" s="83">
        <v>-31.688999999999993</v>
      </c>
      <c r="AC170" s="83">
        <v>-15.742125</v>
      </c>
      <c r="AD170" s="83">
        <v>-5.7242499999999996</v>
      </c>
    </row>
    <row r="171" spans="1:30">
      <c r="A171" s="24"/>
      <c r="B171" s="24"/>
      <c r="C171" s="24"/>
      <c r="D171" s="24"/>
      <c r="E171" s="24"/>
      <c r="F171" s="24"/>
      <c r="G171" s="24"/>
      <c r="H171" s="24"/>
      <c r="I171" s="24"/>
      <c r="J171" s="24"/>
      <c r="K171" s="24"/>
      <c r="L171" s="24"/>
      <c r="M171" s="24"/>
      <c r="N171" s="24"/>
      <c r="O171" s="24"/>
      <c r="P171" s="86"/>
      <c r="Q171" s="86"/>
      <c r="R171" s="86"/>
      <c r="S171" s="86"/>
      <c r="T171" s="86"/>
      <c r="U171" s="86"/>
      <c r="V171" s="86"/>
      <c r="W171" s="86"/>
      <c r="X171" s="86"/>
      <c r="Y171" s="86"/>
      <c r="Z171" s="86"/>
      <c r="AA171" s="86"/>
      <c r="AB171" s="86"/>
      <c r="AC171" s="86"/>
      <c r="AD171" s="86"/>
    </row>
    <row r="172" spans="1:30">
      <c r="A172" s="19" t="s">
        <v>43</v>
      </c>
      <c r="B172" s="75" t="s">
        <v>629</v>
      </c>
      <c r="C172" s="75" t="s">
        <v>606</v>
      </c>
      <c r="D172" s="75" t="s">
        <v>593</v>
      </c>
      <c r="E172" s="75" t="s">
        <v>550</v>
      </c>
      <c r="F172" s="75" t="s">
        <v>524</v>
      </c>
      <c r="G172" s="75" t="s">
        <v>513</v>
      </c>
      <c r="H172" s="75" t="s">
        <v>502</v>
      </c>
      <c r="I172" s="75" t="s">
        <v>419</v>
      </c>
      <c r="J172" s="75" t="s">
        <v>401</v>
      </c>
      <c r="K172" s="75" t="s">
        <v>387</v>
      </c>
      <c r="L172" s="75" t="s">
        <v>391</v>
      </c>
      <c r="M172" s="75" t="s">
        <v>392</v>
      </c>
      <c r="N172" s="75" t="s">
        <v>393</v>
      </c>
      <c r="O172" s="75" t="s">
        <v>394</v>
      </c>
      <c r="P172" s="75"/>
      <c r="Q172" s="75" t="s">
        <v>630</v>
      </c>
      <c r="R172" s="75" t="s">
        <v>607</v>
      </c>
      <c r="S172" s="75" t="s">
        <v>594</v>
      </c>
      <c r="T172" s="75" t="s">
        <v>551</v>
      </c>
      <c r="U172" s="75" t="s">
        <v>525</v>
      </c>
      <c r="V172" s="75" t="s">
        <v>514</v>
      </c>
      <c r="W172" s="75" t="s">
        <v>503</v>
      </c>
      <c r="X172" s="75" t="s">
        <v>420</v>
      </c>
      <c r="Y172" s="75" t="s">
        <v>402</v>
      </c>
      <c r="Z172" s="75" t="s">
        <v>388</v>
      </c>
      <c r="AA172" s="75" t="s">
        <v>395</v>
      </c>
      <c r="AB172" s="75" t="s">
        <v>396</v>
      </c>
      <c r="AC172" s="75" t="s">
        <v>397</v>
      </c>
      <c r="AD172" s="75" t="s">
        <v>398</v>
      </c>
    </row>
    <row r="173" spans="1:30">
      <c r="A173" s="21" t="s">
        <v>691</v>
      </c>
      <c r="B173" s="21"/>
      <c r="C173" s="21"/>
      <c r="D173" s="21"/>
      <c r="E173" s="21"/>
      <c r="F173" s="21"/>
      <c r="G173" s="21"/>
      <c r="H173" s="21"/>
      <c r="I173" s="21"/>
      <c r="J173" s="21"/>
      <c r="K173" s="21"/>
      <c r="L173" s="21"/>
      <c r="M173" s="21"/>
      <c r="N173" s="21"/>
      <c r="O173" s="21"/>
      <c r="P173" s="85"/>
      <c r="Q173" s="85"/>
      <c r="R173" s="85"/>
      <c r="S173" s="85"/>
      <c r="T173" s="85"/>
      <c r="U173" s="85"/>
      <c r="V173" s="85"/>
      <c r="W173" s="85"/>
      <c r="X173" s="85"/>
      <c r="Y173" s="85"/>
      <c r="Z173" s="85"/>
      <c r="AA173" s="85"/>
      <c r="AB173" s="85"/>
      <c r="AC173" s="85"/>
      <c r="AD173" s="85"/>
    </row>
    <row r="174" spans="1:30">
      <c r="A174" s="38" t="s">
        <v>44</v>
      </c>
      <c r="B174" s="179">
        <v>0.373</v>
      </c>
      <c r="C174" s="77">
        <v>0.159</v>
      </c>
      <c r="D174" s="77">
        <v>1.3000000000000001E-2</v>
      </c>
      <c r="E174" s="77">
        <v>2.5999999999999999E-2</v>
      </c>
      <c r="F174" s="77">
        <v>-1.9E-2</v>
      </c>
      <c r="G174" s="77">
        <v>0</v>
      </c>
      <c r="H174" s="77">
        <v>-1E-3</v>
      </c>
      <c r="I174" s="77">
        <v>-1E-3</v>
      </c>
      <c r="J174" s="77">
        <v>-1E-3</v>
      </c>
      <c r="K174" s="77">
        <v>0</v>
      </c>
      <c r="L174" s="77">
        <v>3.5752799999999862E-3</v>
      </c>
      <c r="M174" s="77">
        <v>-3.9900899999999913E-3</v>
      </c>
      <c r="N174" s="77">
        <v>-4.6788000000000125E-4</v>
      </c>
      <c r="O174" s="77">
        <v>6.2102000000000077E-4</v>
      </c>
      <c r="P174" s="81"/>
      <c r="Q174" s="287">
        <v>0.53200000000000003</v>
      </c>
      <c r="R174" s="81">
        <v>0.159</v>
      </c>
      <c r="S174" s="81">
        <v>0.02</v>
      </c>
      <c r="T174" s="81">
        <v>7.0000000000000001E-3</v>
      </c>
      <c r="U174" s="81">
        <v>-1.9E-2</v>
      </c>
      <c r="V174" s="81">
        <v>0</v>
      </c>
      <c r="W174" s="81">
        <v>-3.0000000000000001E-3</v>
      </c>
      <c r="X174" s="81">
        <v>-2E-3</v>
      </c>
      <c r="Y174" s="81">
        <v>-1E-3</v>
      </c>
      <c r="Z174" s="81">
        <v>0</v>
      </c>
      <c r="AA174" s="81">
        <v>-2.6167000000000551E-4</v>
      </c>
      <c r="AB174" s="81">
        <v>-3.8369499999999918E-3</v>
      </c>
      <c r="AC174" s="81">
        <v>1.5313999999999953E-4</v>
      </c>
      <c r="AD174" s="81">
        <v>6.2102000000000077E-4</v>
      </c>
    </row>
    <row r="175" spans="1:30">
      <c r="A175" s="38" t="s">
        <v>109</v>
      </c>
      <c r="B175" s="179">
        <v>-2.2969999999999997</v>
      </c>
      <c r="C175" s="77">
        <v>-2.1219999999999999</v>
      </c>
      <c r="D175" s="77">
        <v>-2.7540000000000004</v>
      </c>
      <c r="E175" s="77">
        <v>-1.9359999999999999</v>
      </c>
      <c r="F175" s="77">
        <v>-2.2190000000000003</v>
      </c>
      <c r="G175" s="77">
        <v>-1.8879999999999999</v>
      </c>
      <c r="H175" s="77">
        <v>-2.1459999999999999</v>
      </c>
      <c r="I175" s="77">
        <v>-1.8719999999999999</v>
      </c>
      <c r="J175" s="77">
        <v>-2.4269999999999996</v>
      </c>
      <c r="K175" s="77">
        <v>-1.905</v>
      </c>
      <c r="L175" s="77">
        <v>-2.2219999999999995</v>
      </c>
      <c r="M175" s="77">
        <v>-1.6380000000000003</v>
      </c>
      <c r="N175" s="77">
        <v>-2.0839999999999996</v>
      </c>
      <c r="O175" s="77">
        <v>-1.8049999999999999</v>
      </c>
      <c r="P175" s="81"/>
      <c r="Q175" s="287">
        <v>-4.4189999999999996</v>
      </c>
      <c r="R175" s="81">
        <v>-2.1219999999999999</v>
      </c>
      <c r="S175" s="81">
        <v>-8.7970000000000006</v>
      </c>
      <c r="T175" s="81">
        <v>-6.0430000000000001</v>
      </c>
      <c r="U175" s="81">
        <v>-4.1070000000000002</v>
      </c>
      <c r="V175" s="81">
        <v>-1.8879999999999999</v>
      </c>
      <c r="W175" s="81">
        <v>-8.35</v>
      </c>
      <c r="X175" s="81">
        <v>-6.2039999999999997</v>
      </c>
      <c r="Y175" s="81">
        <v>-4.3319999999999999</v>
      </c>
      <c r="Z175" s="81">
        <v>-1.905</v>
      </c>
      <c r="AA175" s="81">
        <v>-7.7489999999999997</v>
      </c>
      <c r="AB175" s="81">
        <v>-5.5270000000000001</v>
      </c>
      <c r="AC175" s="81">
        <v>-3.8889999999999998</v>
      </c>
      <c r="AD175" s="81">
        <v>-1.8049999999999999</v>
      </c>
    </row>
    <row r="176" spans="1:30">
      <c r="A176" s="38" t="s">
        <v>46</v>
      </c>
      <c r="B176" s="179">
        <v>13.700000000000001</v>
      </c>
      <c r="C176" s="77">
        <v>12.12</v>
      </c>
      <c r="D176" s="77">
        <v>12.790999999999997</v>
      </c>
      <c r="E176" s="77">
        <v>14.431000000000001</v>
      </c>
      <c r="F176" s="77">
        <v>12.875</v>
      </c>
      <c r="G176" s="77">
        <v>10.489000000000001</v>
      </c>
      <c r="H176" s="77">
        <v>19.455000000000005</v>
      </c>
      <c r="I176" s="77">
        <v>13.247999999999998</v>
      </c>
      <c r="J176" s="77">
        <v>20.152999999999999</v>
      </c>
      <c r="K176" s="77">
        <v>11.493</v>
      </c>
      <c r="L176" s="77">
        <v>10.517240146878468</v>
      </c>
      <c r="M176" s="77">
        <v>7.4938558144541041</v>
      </c>
      <c r="N176" s="77">
        <v>7.0659073860155992</v>
      </c>
      <c r="O176" s="77">
        <v>6.916388369104272</v>
      </c>
      <c r="P176" s="81"/>
      <c r="Q176" s="287">
        <v>25.82</v>
      </c>
      <c r="R176" s="81">
        <v>12.12</v>
      </c>
      <c r="S176" s="81">
        <v>50.585999999999999</v>
      </c>
      <c r="T176" s="81">
        <v>37.795000000000002</v>
      </c>
      <c r="U176" s="81">
        <v>23.364000000000001</v>
      </c>
      <c r="V176" s="81">
        <v>10.489000000000001</v>
      </c>
      <c r="W176" s="81">
        <v>64.349000000000004</v>
      </c>
      <c r="X176" s="81">
        <v>44.893999999999998</v>
      </c>
      <c r="Y176" s="81">
        <v>31.646000000000001</v>
      </c>
      <c r="Z176" s="81">
        <v>11.493</v>
      </c>
      <c r="AA176" s="81">
        <v>31.993391716452443</v>
      </c>
      <c r="AB176" s="81">
        <v>21.476151569573975</v>
      </c>
      <c r="AC176" s="81">
        <v>13.982295755119871</v>
      </c>
      <c r="AD176" s="81">
        <v>6.916388369104272</v>
      </c>
    </row>
    <row r="177" spans="1:30">
      <c r="A177" s="19" t="s">
        <v>47</v>
      </c>
      <c r="B177" s="289">
        <v>11.776</v>
      </c>
      <c r="C177" s="236">
        <v>10.157</v>
      </c>
      <c r="D177" s="236">
        <v>10.049999999999997</v>
      </c>
      <c r="E177" s="236">
        <v>12.521000000000001</v>
      </c>
      <c r="F177" s="236">
        <v>10.636999999999999</v>
      </c>
      <c r="G177" s="236">
        <v>8.6010000000000009</v>
      </c>
      <c r="H177" s="236">
        <v>17.308</v>
      </c>
      <c r="I177" s="236">
        <v>11.375</v>
      </c>
      <c r="J177" s="236">
        <v>17.725000000000001</v>
      </c>
      <c r="K177" s="236">
        <v>9.588000000000001</v>
      </c>
      <c r="L177" s="236">
        <v>8.2988154268784697</v>
      </c>
      <c r="M177" s="236">
        <v>5.8518657244541021</v>
      </c>
      <c r="N177" s="236">
        <v>4.9814395060156</v>
      </c>
      <c r="O177" s="236">
        <v>5.1120093891042719</v>
      </c>
      <c r="P177" s="83"/>
      <c r="Q177" s="288">
        <v>21.933</v>
      </c>
      <c r="R177" s="83">
        <v>10.157</v>
      </c>
      <c r="S177" s="83">
        <v>41.808999999999997</v>
      </c>
      <c r="T177" s="83">
        <v>31.759</v>
      </c>
      <c r="U177" s="83">
        <v>19.238</v>
      </c>
      <c r="V177" s="83">
        <v>8.6010000000000009</v>
      </c>
      <c r="W177" s="83">
        <v>55.996000000000002</v>
      </c>
      <c r="X177" s="83">
        <v>38.688000000000002</v>
      </c>
      <c r="Y177" s="83">
        <v>27.313000000000002</v>
      </c>
      <c r="Z177" s="83">
        <v>9.588000000000001</v>
      </c>
      <c r="AA177" s="83">
        <v>24.244130046452444</v>
      </c>
      <c r="AB177" s="83">
        <v>15.945314619573974</v>
      </c>
      <c r="AC177" s="83">
        <v>10.093448895119872</v>
      </c>
      <c r="AD177" s="83">
        <v>5.1120093891042719</v>
      </c>
    </row>
    <row r="178" spans="1:30">
      <c r="A178" s="19" t="s">
        <v>50</v>
      </c>
      <c r="B178" s="289">
        <v>-1.3759999999999999</v>
      </c>
      <c r="C178" s="236">
        <v>-2.2330000000000001</v>
      </c>
      <c r="D178" s="236">
        <v>-3.089999999999999</v>
      </c>
      <c r="E178" s="236">
        <v>-1.5710000000000002</v>
      </c>
      <c r="F178" s="236">
        <v>-1.7090000000000001</v>
      </c>
      <c r="G178" s="236">
        <v>-1.6859999999999999</v>
      </c>
      <c r="H178" s="236">
        <v>-3.431</v>
      </c>
      <c r="I178" s="236">
        <v>-1.464</v>
      </c>
      <c r="J178" s="236">
        <v>-1.45</v>
      </c>
      <c r="K178" s="236">
        <v>-1.41</v>
      </c>
      <c r="L178" s="236">
        <v>-1.3267061832052409</v>
      </c>
      <c r="M178" s="236">
        <v>-1.4756119727786956</v>
      </c>
      <c r="N178" s="236">
        <v>-1.3531896981740736</v>
      </c>
      <c r="O178" s="236">
        <v>-1.5022596626314026</v>
      </c>
      <c r="P178" s="83"/>
      <c r="Q178" s="288">
        <v>-3.609</v>
      </c>
      <c r="R178" s="83">
        <v>-2.2330000000000001</v>
      </c>
      <c r="S178" s="83">
        <v>-8.0559999999999992</v>
      </c>
      <c r="T178" s="83">
        <v>-4.9660000000000002</v>
      </c>
      <c r="U178" s="83">
        <v>-3.395</v>
      </c>
      <c r="V178" s="83">
        <v>-1.6859999999999999</v>
      </c>
      <c r="W178" s="83">
        <v>-7.7549999999999999</v>
      </c>
      <c r="X178" s="83">
        <v>-4.3239999999999998</v>
      </c>
      <c r="Y178" s="83">
        <v>-2.86</v>
      </c>
      <c r="Z178" s="83">
        <v>-1.41</v>
      </c>
      <c r="AA178" s="83">
        <v>-5.6577675167894128</v>
      </c>
      <c r="AB178" s="83">
        <v>-4.3310613335841719</v>
      </c>
      <c r="AC178" s="83">
        <v>-2.8554493608054763</v>
      </c>
      <c r="AD178" s="83">
        <v>-1.5022596626314026</v>
      </c>
    </row>
    <row r="179" spans="1:30">
      <c r="A179" s="19" t="s">
        <v>110</v>
      </c>
      <c r="B179" s="289">
        <v>10.399999999999999</v>
      </c>
      <c r="C179" s="236">
        <v>7.9239999999999995</v>
      </c>
      <c r="D179" s="236">
        <v>6.9600000000000009</v>
      </c>
      <c r="E179" s="236">
        <v>10.95</v>
      </c>
      <c r="F179" s="236">
        <v>8.927999999999999</v>
      </c>
      <c r="G179" s="236">
        <v>6.9150000000000009</v>
      </c>
      <c r="H179" s="236">
        <v>13.876999999999995</v>
      </c>
      <c r="I179" s="236">
        <v>9.9110000000000014</v>
      </c>
      <c r="J179" s="236">
        <v>16.275000000000002</v>
      </c>
      <c r="K179" s="236">
        <v>8.1780000000000008</v>
      </c>
      <c r="L179" s="236">
        <v>6.9721092436732288</v>
      </c>
      <c r="M179" s="236">
        <v>4.3762537516754065</v>
      </c>
      <c r="N179" s="236">
        <v>3.6282498078415264</v>
      </c>
      <c r="O179" s="236">
        <v>3.6097497264728693</v>
      </c>
      <c r="P179" s="83"/>
      <c r="Q179" s="288">
        <v>18.323999999999998</v>
      </c>
      <c r="R179" s="83">
        <v>7.9239999999999995</v>
      </c>
      <c r="S179" s="83">
        <v>33.753</v>
      </c>
      <c r="T179" s="83">
        <v>26.792999999999999</v>
      </c>
      <c r="U179" s="83">
        <v>15.843</v>
      </c>
      <c r="V179" s="83">
        <v>6.9150000000000009</v>
      </c>
      <c r="W179" s="83">
        <v>48.241</v>
      </c>
      <c r="X179" s="83">
        <v>34.364000000000004</v>
      </c>
      <c r="Y179" s="83">
        <v>24.453000000000003</v>
      </c>
      <c r="Z179" s="83">
        <v>8.1780000000000008</v>
      </c>
      <c r="AA179" s="83">
        <v>18.586362529663031</v>
      </c>
      <c r="AB179" s="83">
        <v>11.614253285989802</v>
      </c>
      <c r="AC179" s="83">
        <v>7.2379995343143957</v>
      </c>
      <c r="AD179" s="83">
        <v>3.6097497264728693</v>
      </c>
    </row>
    <row r="180" spans="1:30" ht="27.75" customHeight="1">
      <c r="A180" s="79" t="s">
        <v>459</v>
      </c>
      <c r="B180" s="179">
        <v>0</v>
      </c>
      <c r="C180" s="77">
        <v>0</v>
      </c>
      <c r="D180" s="77">
        <v>0</v>
      </c>
      <c r="E180" s="77">
        <v>0</v>
      </c>
      <c r="F180" s="77">
        <v>0</v>
      </c>
      <c r="G180" s="77">
        <v>0</v>
      </c>
      <c r="H180" s="77">
        <v>0</v>
      </c>
      <c r="I180" s="77">
        <v>0</v>
      </c>
      <c r="J180" s="77">
        <v>0</v>
      </c>
      <c r="K180" s="77">
        <v>0</v>
      </c>
      <c r="L180" s="77">
        <v>0</v>
      </c>
      <c r="M180" s="77">
        <v>0</v>
      </c>
      <c r="N180" s="77">
        <v>0</v>
      </c>
      <c r="O180" s="77">
        <v>0</v>
      </c>
      <c r="P180" s="81"/>
      <c r="Q180" s="287">
        <v>0</v>
      </c>
      <c r="R180" s="81">
        <v>0</v>
      </c>
      <c r="S180" s="81">
        <v>0</v>
      </c>
      <c r="T180" s="81">
        <v>0</v>
      </c>
      <c r="U180" s="81">
        <v>0</v>
      </c>
      <c r="V180" s="81">
        <v>0</v>
      </c>
      <c r="W180" s="81">
        <v>0</v>
      </c>
      <c r="X180" s="81">
        <v>0</v>
      </c>
      <c r="Y180" s="81">
        <v>0</v>
      </c>
      <c r="Z180" s="81">
        <v>0</v>
      </c>
      <c r="AA180" s="81">
        <v>0</v>
      </c>
      <c r="AB180" s="81">
        <v>0</v>
      </c>
      <c r="AC180" s="81">
        <v>0</v>
      </c>
      <c r="AD180" s="81">
        <v>0</v>
      </c>
    </row>
    <row r="181" spans="1:30">
      <c r="A181" s="38" t="s">
        <v>111</v>
      </c>
      <c r="B181" s="179">
        <v>4.0999999999999995E-2</v>
      </c>
      <c r="C181" s="77">
        <v>-5.8999999999999997E-2</v>
      </c>
      <c r="D181" s="77">
        <v>-0.17599999999999999</v>
      </c>
      <c r="E181" s="77">
        <v>-1.8000000000000016E-2</v>
      </c>
      <c r="F181" s="77">
        <v>2.200000000000002E-2</v>
      </c>
      <c r="G181" s="77">
        <v>-0.14000000000000001</v>
      </c>
      <c r="H181" s="77">
        <v>-8.6000000000000021E-2</v>
      </c>
      <c r="I181" s="77">
        <v>-3.0999999999999986E-2</v>
      </c>
      <c r="J181" s="77">
        <v>-0.08</v>
      </c>
      <c r="K181" s="77">
        <v>-3.2000000000000001E-2</v>
      </c>
      <c r="L181" s="77">
        <v>5.7999999999999996E-2</v>
      </c>
      <c r="M181" s="77">
        <v>-8.0999999999999989E-2</v>
      </c>
      <c r="N181" s="77">
        <v>6.0000000000000053E-3</v>
      </c>
      <c r="O181" s="77">
        <v>3.2000000000000001E-2</v>
      </c>
      <c r="P181" s="81"/>
      <c r="Q181" s="287">
        <v>-1.7999999999999999E-2</v>
      </c>
      <c r="R181" s="81">
        <v>-5.8999999999999997E-2</v>
      </c>
      <c r="S181" s="81">
        <v>-0.312</v>
      </c>
      <c r="T181" s="81">
        <v>-0.13600000000000001</v>
      </c>
      <c r="U181" s="81">
        <v>-0.11799999999999999</v>
      </c>
      <c r="V181" s="81">
        <v>-0.14000000000000001</v>
      </c>
      <c r="W181" s="81">
        <v>-0.22900000000000001</v>
      </c>
      <c r="X181" s="81">
        <v>-0.14299999999999999</v>
      </c>
      <c r="Y181" s="81">
        <v>-0.112</v>
      </c>
      <c r="Z181" s="81">
        <v>-3.2000000000000001E-2</v>
      </c>
      <c r="AA181" s="81">
        <v>1.5000000000000013E-2</v>
      </c>
      <c r="AB181" s="81">
        <v>-4.2999999999999983E-2</v>
      </c>
      <c r="AC181" s="81">
        <v>3.8000000000000006E-2</v>
      </c>
      <c r="AD181" s="81">
        <v>3.2000000000000001E-2</v>
      </c>
    </row>
    <row r="182" spans="1:30">
      <c r="A182" s="38" t="s">
        <v>112</v>
      </c>
      <c r="B182" s="179">
        <v>0</v>
      </c>
      <c r="C182" s="77">
        <v>0</v>
      </c>
      <c r="D182" s="77">
        <v>0</v>
      </c>
      <c r="E182" s="77">
        <v>0</v>
      </c>
      <c r="F182" s="77">
        <v>0</v>
      </c>
      <c r="G182" s="77">
        <v>0</v>
      </c>
      <c r="H182" s="77">
        <v>0</v>
      </c>
      <c r="I182" s="77">
        <v>0</v>
      </c>
      <c r="J182" s="77">
        <v>0</v>
      </c>
      <c r="K182" s="77">
        <v>0</v>
      </c>
      <c r="L182" s="77">
        <v>0</v>
      </c>
      <c r="M182" s="77">
        <v>0</v>
      </c>
      <c r="N182" s="77">
        <v>0</v>
      </c>
      <c r="O182" s="77">
        <v>0</v>
      </c>
      <c r="P182" s="81"/>
      <c r="Q182" s="287">
        <v>0</v>
      </c>
      <c r="R182" s="81">
        <v>0</v>
      </c>
      <c r="S182" s="81">
        <v>0</v>
      </c>
      <c r="T182" s="81">
        <v>0</v>
      </c>
      <c r="U182" s="81">
        <v>0</v>
      </c>
      <c r="V182" s="81">
        <v>0</v>
      </c>
      <c r="W182" s="81">
        <v>0</v>
      </c>
      <c r="X182" s="81">
        <v>0</v>
      </c>
      <c r="Y182" s="81">
        <v>0</v>
      </c>
      <c r="Z182" s="81">
        <v>0</v>
      </c>
      <c r="AA182" s="81">
        <v>0</v>
      </c>
      <c r="AB182" s="81">
        <v>0</v>
      </c>
      <c r="AC182" s="81">
        <v>0</v>
      </c>
      <c r="AD182" s="81">
        <v>0</v>
      </c>
    </row>
    <row r="183" spans="1:30">
      <c r="A183" s="38" t="s">
        <v>113</v>
      </c>
      <c r="B183" s="179">
        <v>0</v>
      </c>
      <c r="C183" s="77">
        <v>0</v>
      </c>
      <c r="D183" s="77">
        <v>0</v>
      </c>
      <c r="E183" s="77">
        <v>0</v>
      </c>
      <c r="F183" s="77">
        <v>0</v>
      </c>
      <c r="G183" s="77">
        <v>0</v>
      </c>
      <c r="H183" s="77">
        <v>0</v>
      </c>
      <c r="I183" s="77">
        <v>0</v>
      </c>
      <c r="J183" s="77">
        <v>0</v>
      </c>
      <c r="K183" s="77">
        <v>0</v>
      </c>
      <c r="L183" s="77">
        <v>0</v>
      </c>
      <c r="M183" s="77">
        <v>0</v>
      </c>
      <c r="N183" s="77">
        <v>0</v>
      </c>
      <c r="O183" s="77">
        <v>0</v>
      </c>
      <c r="P183" s="81"/>
      <c r="Q183" s="287">
        <v>0</v>
      </c>
      <c r="R183" s="81">
        <v>0</v>
      </c>
      <c r="S183" s="81">
        <v>0</v>
      </c>
      <c r="T183" s="81">
        <v>0</v>
      </c>
      <c r="U183" s="81">
        <v>0</v>
      </c>
      <c r="V183" s="81">
        <v>0</v>
      </c>
      <c r="W183" s="81">
        <v>0</v>
      </c>
      <c r="X183" s="81">
        <v>0</v>
      </c>
      <c r="Y183" s="81">
        <v>0</v>
      </c>
      <c r="Z183" s="81">
        <v>0</v>
      </c>
      <c r="AA183" s="81">
        <v>0</v>
      </c>
      <c r="AB183" s="81">
        <v>0</v>
      </c>
      <c r="AC183" s="81">
        <v>0</v>
      </c>
      <c r="AD183" s="81">
        <v>0</v>
      </c>
    </row>
    <row r="184" spans="1:30">
      <c r="A184" s="19" t="s">
        <v>114</v>
      </c>
      <c r="B184" s="289">
        <v>10.440999999999999</v>
      </c>
      <c r="C184" s="236">
        <v>7.8649999999999993</v>
      </c>
      <c r="D184" s="236">
        <v>6.7840000000000025</v>
      </c>
      <c r="E184" s="236">
        <v>10.932</v>
      </c>
      <c r="F184" s="236">
        <v>8.9499999999999993</v>
      </c>
      <c r="G184" s="236">
        <v>6.7750000000000012</v>
      </c>
      <c r="H184" s="236">
        <v>13.790999999999997</v>
      </c>
      <c r="I184" s="236">
        <v>9.879999999999999</v>
      </c>
      <c r="J184" s="236">
        <v>16.195000000000004</v>
      </c>
      <c r="K184" s="236">
        <v>8.1460000000000008</v>
      </c>
      <c r="L184" s="236">
        <v>7.0301092436732286</v>
      </c>
      <c r="M184" s="236">
        <v>4.295253751675407</v>
      </c>
      <c r="N184" s="236">
        <v>3.6342498078415266</v>
      </c>
      <c r="O184" s="236">
        <v>3.6417497264728693</v>
      </c>
      <c r="P184" s="83"/>
      <c r="Q184" s="288">
        <v>18.305999999999997</v>
      </c>
      <c r="R184" s="83">
        <v>7.8649999999999993</v>
      </c>
      <c r="S184" s="83">
        <v>33.441000000000003</v>
      </c>
      <c r="T184" s="83">
        <v>26.657</v>
      </c>
      <c r="U184" s="83">
        <v>15.725</v>
      </c>
      <c r="V184" s="83">
        <v>6.7750000000000012</v>
      </c>
      <c r="W184" s="83">
        <v>48.012</v>
      </c>
      <c r="X184" s="83">
        <v>34.221000000000004</v>
      </c>
      <c r="Y184" s="83">
        <v>24.341000000000005</v>
      </c>
      <c r="Z184" s="83">
        <v>8.1460000000000008</v>
      </c>
      <c r="AA184" s="83">
        <v>18.601362529663032</v>
      </c>
      <c r="AB184" s="83">
        <v>11.571253285989803</v>
      </c>
      <c r="AC184" s="83">
        <v>7.2759995343143959</v>
      </c>
      <c r="AD184" s="83">
        <v>3.6417497264728693</v>
      </c>
    </row>
    <row r="185" spans="1:30">
      <c r="A185" s="38" t="s">
        <v>55</v>
      </c>
      <c r="B185" s="179">
        <v>-0.71600000000000008</v>
      </c>
      <c r="C185" s="77">
        <v>-0.35199999999999998</v>
      </c>
      <c r="D185" s="77">
        <v>-0.72700000000000031</v>
      </c>
      <c r="E185" s="77">
        <v>-0.75199999999999978</v>
      </c>
      <c r="F185" s="77">
        <v>-0.66700000000000004</v>
      </c>
      <c r="G185" s="77">
        <v>-0.748</v>
      </c>
      <c r="H185" s="77">
        <v>-1.6019999999999994</v>
      </c>
      <c r="I185" s="77">
        <v>-0.63700000000000023</v>
      </c>
      <c r="J185" s="77">
        <v>-1.6379999999999999</v>
      </c>
      <c r="K185" s="77">
        <v>-0.32400000000000001</v>
      </c>
      <c r="L185" s="77">
        <v>-0.92353303203231207</v>
      </c>
      <c r="M185" s="77">
        <v>-0.49507593969877983</v>
      </c>
      <c r="N185" s="77">
        <v>-0.4432714291639257</v>
      </c>
      <c r="O185" s="77">
        <v>-0.44429872625171574</v>
      </c>
      <c r="P185" s="81"/>
      <c r="Q185" s="287">
        <v>-1.0680000000000001</v>
      </c>
      <c r="R185" s="81">
        <v>-0.35199999999999998</v>
      </c>
      <c r="S185" s="81">
        <v>-2.8940000000000001</v>
      </c>
      <c r="T185" s="81">
        <v>-2.1669999999999998</v>
      </c>
      <c r="U185" s="81">
        <v>-1.415</v>
      </c>
      <c r="V185" s="81">
        <v>-0.748</v>
      </c>
      <c r="W185" s="81">
        <v>-4.2009999999999996</v>
      </c>
      <c r="X185" s="81">
        <v>-2.5990000000000002</v>
      </c>
      <c r="Y185" s="81">
        <v>-1.962</v>
      </c>
      <c r="Z185" s="81">
        <v>-0.32400000000000001</v>
      </c>
      <c r="AA185" s="81">
        <v>-2.3061791271467333</v>
      </c>
      <c r="AB185" s="81">
        <v>-1.3826460951144213</v>
      </c>
      <c r="AC185" s="81">
        <v>-0.88757015541564144</v>
      </c>
      <c r="AD185" s="81">
        <v>-0.44429872625171574</v>
      </c>
    </row>
    <row r="186" spans="1:30">
      <c r="A186" s="38" t="s">
        <v>115</v>
      </c>
      <c r="B186" s="179">
        <v>0</v>
      </c>
      <c r="C186" s="77">
        <v>0</v>
      </c>
      <c r="D186" s="77">
        <v>0</v>
      </c>
      <c r="E186" s="77">
        <v>0</v>
      </c>
      <c r="F186" s="77">
        <v>0</v>
      </c>
      <c r="G186" s="77">
        <v>0</v>
      </c>
      <c r="H186" s="77">
        <v>0</v>
      </c>
      <c r="I186" s="77">
        <v>0</v>
      </c>
      <c r="J186" s="77">
        <v>0</v>
      </c>
      <c r="K186" s="77">
        <v>0</v>
      </c>
      <c r="L186" s="77">
        <v>0</v>
      </c>
      <c r="M186" s="77">
        <v>0</v>
      </c>
      <c r="N186" s="77">
        <v>0</v>
      </c>
      <c r="O186" s="77">
        <v>0</v>
      </c>
      <c r="P186" s="81"/>
      <c r="Q186" s="287">
        <v>0</v>
      </c>
      <c r="R186" s="81">
        <v>0</v>
      </c>
      <c r="S186" s="81">
        <v>0</v>
      </c>
      <c r="T186" s="81">
        <v>0</v>
      </c>
      <c r="U186" s="81">
        <v>0</v>
      </c>
      <c r="V186" s="81">
        <v>0</v>
      </c>
      <c r="W186" s="81">
        <v>0</v>
      </c>
      <c r="X186" s="81">
        <v>0</v>
      </c>
      <c r="Y186" s="81">
        <v>0</v>
      </c>
      <c r="Z186" s="81">
        <v>0</v>
      </c>
      <c r="AA186" s="81">
        <v>0</v>
      </c>
      <c r="AB186" s="81">
        <v>0</v>
      </c>
      <c r="AC186" s="81">
        <v>0</v>
      </c>
      <c r="AD186" s="81">
        <v>0</v>
      </c>
    </row>
    <row r="187" spans="1:30">
      <c r="A187" s="19" t="s">
        <v>116</v>
      </c>
      <c r="B187" s="289">
        <v>9.7249999999999979</v>
      </c>
      <c r="C187" s="236">
        <v>7.512999999999999</v>
      </c>
      <c r="D187" s="236">
        <v>6.0570000000000022</v>
      </c>
      <c r="E187" s="236">
        <v>10.180000000000003</v>
      </c>
      <c r="F187" s="236">
        <v>8.2829999999999977</v>
      </c>
      <c r="G187" s="236">
        <v>6.027000000000001</v>
      </c>
      <c r="H187" s="236">
        <v>12.188999999999997</v>
      </c>
      <c r="I187" s="236">
        <v>9.2429999999999986</v>
      </c>
      <c r="J187" s="236">
        <v>14.557000000000004</v>
      </c>
      <c r="K187" s="236">
        <v>7.822000000000001</v>
      </c>
      <c r="L187" s="236">
        <v>6.106576211640915</v>
      </c>
      <c r="M187" s="236">
        <v>3.8001778119766279</v>
      </c>
      <c r="N187" s="236">
        <v>3.1909783786776007</v>
      </c>
      <c r="O187" s="236">
        <v>3.1974510002211538</v>
      </c>
      <c r="P187" s="83"/>
      <c r="Q187" s="288">
        <v>17.237999999999996</v>
      </c>
      <c r="R187" s="83">
        <v>7.512999999999999</v>
      </c>
      <c r="S187" s="83">
        <v>30.547000000000004</v>
      </c>
      <c r="T187" s="83">
        <v>24.490000000000002</v>
      </c>
      <c r="U187" s="83">
        <v>14.309999999999999</v>
      </c>
      <c r="V187" s="83">
        <v>6.027000000000001</v>
      </c>
      <c r="W187" s="83">
        <v>43.811</v>
      </c>
      <c r="X187" s="83">
        <v>31.622000000000003</v>
      </c>
      <c r="Y187" s="83">
        <v>22.379000000000005</v>
      </c>
      <c r="Z187" s="83">
        <v>7.822000000000001</v>
      </c>
      <c r="AA187" s="83">
        <v>16.295183402516297</v>
      </c>
      <c r="AB187" s="83">
        <v>10.188607190875382</v>
      </c>
      <c r="AC187" s="83">
        <v>6.3884293788987545</v>
      </c>
      <c r="AD187" s="83">
        <v>3.1974510002211538</v>
      </c>
    </row>
    <row r="188" spans="1:30">
      <c r="A188" s="24"/>
      <c r="B188" s="24"/>
      <c r="C188" s="24"/>
      <c r="D188" s="24"/>
      <c r="E188" s="24"/>
      <c r="F188" s="24"/>
      <c r="G188" s="24"/>
      <c r="H188" s="24"/>
      <c r="I188" s="24"/>
      <c r="J188" s="24"/>
      <c r="K188" s="24"/>
      <c r="L188" s="24"/>
      <c r="M188" s="24"/>
      <c r="N188" s="24"/>
      <c r="O188" s="24"/>
      <c r="P188" s="86"/>
      <c r="Q188" s="86"/>
      <c r="R188" s="86"/>
      <c r="S188" s="86"/>
      <c r="T188" s="86"/>
      <c r="U188" s="86"/>
      <c r="V188" s="86"/>
      <c r="W188" s="86"/>
      <c r="X188" s="86"/>
      <c r="Y188" s="86"/>
      <c r="Z188" s="86"/>
      <c r="AA188" s="86"/>
      <c r="AB188" s="86"/>
      <c r="AC188" s="86"/>
      <c r="AD188" s="86"/>
    </row>
    <row r="189" spans="1:30">
      <c r="A189" s="19" t="s">
        <v>43</v>
      </c>
      <c r="B189" s="75" t="s">
        <v>629</v>
      </c>
      <c r="C189" s="75" t="s">
        <v>606</v>
      </c>
      <c r="D189" s="75" t="s">
        <v>593</v>
      </c>
      <c r="E189" s="75" t="s">
        <v>550</v>
      </c>
      <c r="F189" s="75" t="s">
        <v>524</v>
      </c>
      <c r="G189" s="75" t="s">
        <v>513</v>
      </c>
      <c r="H189" s="75" t="s">
        <v>502</v>
      </c>
      <c r="I189" s="75" t="s">
        <v>419</v>
      </c>
      <c r="J189" s="75" t="s">
        <v>401</v>
      </c>
      <c r="K189" s="75" t="s">
        <v>387</v>
      </c>
      <c r="L189" s="75" t="s">
        <v>476</v>
      </c>
      <c r="M189" s="75" t="s">
        <v>477</v>
      </c>
      <c r="N189" s="75" t="s">
        <v>478</v>
      </c>
      <c r="O189" s="75" t="s">
        <v>479</v>
      </c>
      <c r="P189" s="75"/>
      <c r="Q189" s="75" t="s">
        <v>630</v>
      </c>
      <c r="R189" s="75" t="s">
        <v>607</v>
      </c>
      <c r="S189" s="75" t="s">
        <v>594</v>
      </c>
      <c r="T189" s="75" t="s">
        <v>551</v>
      </c>
      <c r="U189" s="75" t="s">
        <v>525</v>
      </c>
      <c r="V189" s="75" t="s">
        <v>514</v>
      </c>
      <c r="W189" s="75" t="s">
        <v>503</v>
      </c>
      <c r="X189" s="75" t="s">
        <v>420</v>
      </c>
      <c r="Y189" s="75" t="s">
        <v>402</v>
      </c>
      <c r="Z189" s="75" t="s">
        <v>388</v>
      </c>
      <c r="AA189" s="75" t="s">
        <v>715</v>
      </c>
      <c r="AB189" s="75" t="s">
        <v>716</v>
      </c>
      <c r="AC189" s="75" t="s">
        <v>717</v>
      </c>
      <c r="AD189" s="75" t="s">
        <v>718</v>
      </c>
    </row>
    <row r="190" spans="1:30">
      <c r="A190" s="21" t="s">
        <v>679</v>
      </c>
      <c r="B190" s="21"/>
      <c r="C190" s="21"/>
      <c r="D190" s="21"/>
      <c r="E190" s="21"/>
      <c r="F190" s="21"/>
      <c r="G190" s="21"/>
      <c r="H190" s="21"/>
      <c r="I190" s="21"/>
      <c r="J190" s="21"/>
      <c r="K190" s="21"/>
      <c r="L190" s="21"/>
      <c r="M190" s="21"/>
      <c r="N190" s="21"/>
      <c r="O190" s="21"/>
      <c r="P190" s="85"/>
      <c r="Q190" s="85"/>
      <c r="R190" s="85"/>
      <c r="S190" s="85"/>
      <c r="T190" s="85"/>
      <c r="U190" s="85"/>
      <c r="V190" s="85"/>
      <c r="W190" s="85"/>
      <c r="X190" s="85"/>
      <c r="Y190" s="85"/>
      <c r="Z190" s="85"/>
      <c r="AA190" s="85"/>
      <c r="AB190" s="85"/>
      <c r="AC190" s="85"/>
      <c r="AD190" s="85"/>
    </row>
    <row r="191" spans="1:30">
      <c r="A191" s="38" t="s">
        <v>44</v>
      </c>
      <c r="B191" s="179">
        <v>23.598000000000003</v>
      </c>
      <c r="C191" s="77">
        <v>13.587</v>
      </c>
      <c r="D191" s="77">
        <v>8.7330000000000005</v>
      </c>
      <c r="E191" s="77">
        <v>5.1030000000000015</v>
      </c>
      <c r="F191" s="77">
        <v>6.666999999999998</v>
      </c>
      <c r="G191" s="77">
        <v>17.506</v>
      </c>
      <c r="H191" s="77">
        <v>8.5429999999999993</v>
      </c>
      <c r="I191" s="77">
        <v>7.1449999999999996</v>
      </c>
      <c r="J191" s="77">
        <v>22.783000000000001</v>
      </c>
      <c r="K191" s="77">
        <v>-3.4489999999999998</v>
      </c>
      <c r="L191" s="77">
        <v>-1.1690000000000005</v>
      </c>
      <c r="M191" s="77">
        <v>2.4559999999999995</v>
      </c>
      <c r="N191" s="77">
        <v>7.4780000000000006</v>
      </c>
      <c r="O191" s="77">
        <v>6.0949999999999998</v>
      </c>
      <c r="P191" s="81"/>
      <c r="Q191" s="287">
        <v>37.185000000000002</v>
      </c>
      <c r="R191" s="81">
        <v>13.587</v>
      </c>
      <c r="S191" s="81">
        <v>38.009</v>
      </c>
      <c r="T191" s="81">
        <v>29.276</v>
      </c>
      <c r="U191" s="81">
        <v>24.172999999999998</v>
      </c>
      <c r="V191" s="81">
        <v>17.506</v>
      </c>
      <c r="W191" s="81">
        <v>35.021999999999998</v>
      </c>
      <c r="X191" s="81">
        <v>26.478999999999999</v>
      </c>
      <c r="Y191" s="81">
        <v>19.334</v>
      </c>
      <c r="Z191" s="81">
        <v>-3.4489999999999998</v>
      </c>
      <c r="AA191" s="81">
        <v>14.86</v>
      </c>
      <c r="AB191" s="81">
        <v>16.029</v>
      </c>
      <c r="AC191" s="81">
        <v>13.573</v>
      </c>
      <c r="AD191" s="81">
        <v>6.0949999999999998</v>
      </c>
    </row>
    <row r="192" spans="1:30">
      <c r="A192" s="38" t="s">
        <v>109</v>
      </c>
      <c r="B192" s="179">
        <v>1.016</v>
      </c>
      <c r="C192" s="77">
        <v>1.173</v>
      </c>
      <c r="D192" s="77">
        <v>1.3109999999999999</v>
      </c>
      <c r="E192" s="77">
        <v>0.91299999999999981</v>
      </c>
      <c r="F192" s="77">
        <v>1.1230000000000002</v>
      </c>
      <c r="G192" s="77">
        <v>0.97699999999999998</v>
      </c>
      <c r="H192" s="77">
        <v>0.69700000000000029</v>
      </c>
      <c r="I192" s="77">
        <v>0.82799999999999996</v>
      </c>
      <c r="J192" s="77">
        <v>0.43099999999999999</v>
      </c>
      <c r="K192" s="77">
        <v>0.41299999999999998</v>
      </c>
      <c r="L192" s="77">
        <v>0.17700000000000005</v>
      </c>
      <c r="M192" s="77">
        <v>0.42200000000000015</v>
      </c>
      <c r="N192" s="77">
        <v>0.64799999999999991</v>
      </c>
      <c r="O192" s="77">
        <v>0.35499999999999998</v>
      </c>
      <c r="P192" s="81"/>
      <c r="Q192" s="287">
        <v>2.1890000000000001</v>
      </c>
      <c r="R192" s="81">
        <v>1.173</v>
      </c>
      <c r="S192" s="81">
        <v>4.3239999999999998</v>
      </c>
      <c r="T192" s="81">
        <v>3.0129999999999999</v>
      </c>
      <c r="U192" s="81">
        <v>2.1</v>
      </c>
      <c r="V192" s="81">
        <v>0.97699999999999998</v>
      </c>
      <c r="W192" s="81">
        <v>2.3690000000000002</v>
      </c>
      <c r="X192" s="81">
        <v>1.6719999999999999</v>
      </c>
      <c r="Y192" s="81">
        <v>0.84399999999999997</v>
      </c>
      <c r="Z192" s="81">
        <v>0.41299999999999998</v>
      </c>
      <c r="AA192" s="81">
        <v>1.6020000000000001</v>
      </c>
      <c r="AB192" s="81">
        <v>1.425</v>
      </c>
      <c r="AC192" s="81">
        <v>1.0029999999999999</v>
      </c>
      <c r="AD192" s="81">
        <v>0.35499999999999998</v>
      </c>
    </row>
    <row r="193" spans="1:30">
      <c r="A193" s="38" t="s">
        <v>46</v>
      </c>
      <c r="B193" s="179">
        <v>4.2329999999999997</v>
      </c>
      <c r="C193" s="77">
        <v>3.758</v>
      </c>
      <c r="D193" s="77">
        <v>4.8350000000000009</v>
      </c>
      <c r="E193" s="77">
        <v>4.5270000000000001</v>
      </c>
      <c r="F193" s="77">
        <v>2.4179999999999993</v>
      </c>
      <c r="G193" s="77">
        <v>4.2670000000000003</v>
      </c>
      <c r="H193" s="77">
        <v>2.1950000000000003</v>
      </c>
      <c r="I193" s="77">
        <v>5.0090000000000003</v>
      </c>
      <c r="J193" s="77">
        <v>5.4879999999999995</v>
      </c>
      <c r="K193" s="77">
        <v>8.0640000000000001</v>
      </c>
      <c r="L193" s="77">
        <v>10.07</v>
      </c>
      <c r="M193" s="77">
        <v>7.8150000000000004</v>
      </c>
      <c r="N193" s="77">
        <v>4.8699999999999992</v>
      </c>
      <c r="O193" s="77">
        <v>1.972</v>
      </c>
      <c r="P193" s="81"/>
      <c r="Q193" s="287">
        <v>7.9909999999999997</v>
      </c>
      <c r="R193" s="81">
        <v>3.758</v>
      </c>
      <c r="S193" s="81">
        <v>16.047000000000001</v>
      </c>
      <c r="T193" s="81">
        <v>11.212</v>
      </c>
      <c r="U193" s="81">
        <v>6.6849999999999996</v>
      </c>
      <c r="V193" s="81">
        <v>4.2670000000000003</v>
      </c>
      <c r="W193" s="81">
        <v>20.756</v>
      </c>
      <c r="X193" s="81">
        <v>18.561</v>
      </c>
      <c r="Y193" s="81">
        <v>13.552</v>
      </c>
      <c r="Z193" s="81">
        <v>8.0640000000000001</v>
      </c>
      <c r="AA193" s="81">
        <v>24.727</v>
      </c>
      <c r="AB193" s="81">
        <v>14.657</v>
      </c>
      <c r="AC193" s="81">
        <v>6.8419999999999996</v>
      </c>
      <c r="AD193" s="81">
        <v>1.972</v>
      </c>
    </row>
    <row r="194" spans="1:30">
      <c r="A194" s="19" t="s">
        <v>47</v>
      </c>
      <c r="B194" s="289">
        <v>28.847000000000001</v>
      </c>
      <c r="C194" s="236">
        <v>18.518000000000001</v>
      </c>
      <c r="D194" s="236">
        <v>14.878999999999991</v>
      </c>
      <c r="E194" s="236">
        <v>10.543000000000006</v>
      </c>
      <c r="F194" s="236">
        <v>10.207999999999998</v>
      </c>
      <c r="G194" s="236">
        <v>22.75</v>
      </c>
      <c r="H194" s="236">
        <v>11.434999999999995</v>
      </c>
      <c r="I194" s="236">
        <v>12.981999999999999</v>
      </c>
      <c r="J194" s="236">
        <v>28.702000000000005</v>
      </c>
      <c r="K194" s="236">
        <v>5.0280000000000005</v>
      </c>
      <c r="L194" s="236">
        <v>9.0779999999999959</v>
      </c>
      <c r="M194" s="236">
        <v>10.693000000000005</v>
      </c>
      <c r="N194" s="236">
        <v>12.996</v>
      </c>
      <c r="O194" s="236">
        <v>8.4219999999999988</v>
      </c>
      <c r="P194" s="83"/>
      <c r="Q194" s="288">
        <v>47.365000000000002</v>
      </c>
      <c r="R194" s="83">
        <v>18.518000000000001</v>
      </c>
      <c r="S194" s="83">
        <v>58.379999999999995</v>
      </c>
      <c r="T194" s="83">
        <v>43.501000000000005</v>
      </c>
      <c r="U194" s="83">
        <v>32.957999999999998</v>
      </c>
      <c r="V194" s="83">
        <v>22.75</v>
      </c>
      <c r="W194" s="83">
        <v>58.146999999999998</v>
      </c>
      <c r="X194" s="83">
        <v>46.712000000000003</v>
      </c>
      <c r="Y194" s="83">
        <v>33.730000000000004</v>
      </c>
      <c r="Z194" s="83">
        <v>5.0280000000000005</v>
      </c>
      <c r="AA194" s="83">
        <v>41.189</v>
      </c>
      <c r="AB194" s="83">
        <v>32.111000000000004</v>
      </c>
      <c r="AC194" s="83">
        <v>21.417999999999999</v>
      </c>
      <c r="AD194" s="83">
        <v>8.4219999999999988</v>
      </c>
    </row>
    <row r="195" spans="1:30">
      <c r="A195" s="19" t="s">
        <v>50</v>
      </c>
      <c r="B195" s="289">
        <v>-4.1489999999999991</v>
      </c>
      <c r="C195" s="236">
        <v>-3.9380000000000002</v>
      </c>
      <c r="D195" s="236">
        <v>-4.4489999999999998</v>
      </c>
      <c r="E195" s="236">
        <v>-3.7389999999999999</v>
      </c>
      <c r="F195" s="236">
        <v>-4.1389999999999993</v>
      </c>
      <c r="G195" s="236">
        <v>-3.6960000000000002</v>
      </c>
      <c r="H195" s="236">
        <v>-3.2620000000000005</v>
      </c>
      <c r="I195" s="236">
        <v>-2.056</v>
      </c>
      <c r="J195" s="236">
        <v>-2.4070000000000005</v>
      </c>
      <c r="K195" s="236">
        <v>-2.5169999999999999</v>
      </c>
      <c r="L195" s="236">
        <v>-3.0499999999999989</v>
      </c>
      <c r="M195" s="236">
        <v>-2.9720000000000004</v>
      </c>
      <c r="N195" s="236">
        <v>-3.7640000000000002</v>
      </c>
      <c r="O195" s="236">
        <v>-2.4870000000000001</v>
      </c>
      <c r="P195" s="83"/>
      <c r="Q195" s="288">
        <v>-8.0869999999999997</v>
      </c>
      <c r="R195" s="83">
        <v>-3.9380000000000002</v>
      </c>
      <c r="S195" s="83">
        <v>-16.023</v>
      </c>
      <c r="T195" s="83">
        <v>-11.574</v>
      </c>
      <c r="U195" s="83">
        <v>-7.835</v>
      </c>
      <c r="V195" s="83">
        <v>-3.6960000000000002</v>
      </c>
      <c r="W195" s="83">
        <v>-10.242000000000001</v>
      </c>
      <c r="X195" s="83">
        <v>-6.98</v>
      </c>
      <c r="Y195" s="83">
        <v>-4.9240000000000004</v>
      </c>
      <c r="Z195" s="83">
        <v>-2.5169999999999999</v>
      </c>
      <c r="AA195" s="83">
        <v>-12.273</v>
      </c>
      <c r="AB195" s="83">
        <v>-9.2230000000000008</v>
      </c>
      <c r="AC195" s="83">
        <v>-6.2510000000000003</v>
      </c>
      <c r="AD195" s="83">
        <v>-2.4870000000000001</v>
      </c>
    </row>
    <row r="196" spans="1:30">
      <c r="A196" s="19" t="s">
        <v>110</v>
      </c>
      <c r="B196" s="289">
        <v>24.698000000000008</v>
      </c>
      <c r="C196" s="236">
        <v>14.58</v>
      </c>
      <c r="D196" s="236">
        <v>10.429999999999993</v>
      </c>
      <c r="E196" s="236">
        <v>6.8040000000000092</v>
      </c>
      <c r="F196" s="236">
        <v>6.0689999999999991</v>
      </c>
      <c r="G196" s="236">
        <v>19.053999999999998</v>
      </c>
      <c r="H196" s="236">
        <v>8.1730000000000018</v>
      </c>
      <c r="I196" s="236">
        <v>10.925999999999995</v>
      </c>
      <c r="J196" s="236">
        <v>26.295000000000005</v>
      </c>
      <c r="K196" s="236">
        <v>2.5110000000000006</v>
      </c>
      <c r="L196" s="236">
        <v>6.0279999999999951</v>
      </c>
      <c r="M196" s="236">
        <v>7.7210000000000072</v>
      </c>
      <c r="N196" s="236">
        <v>9.2319999999999993</v>
      </c>
      <c r="O196" s="236">
        <v>5.9349999999999987</v>
      </c>
      <c r="P196" s="83"/>
      <c r="Q196" s="288">
        <v>39.278000000000006</v>
      </c>
      <c r="R196" s="83">
        <v>14.58</v>
      </c>
      <c r="S196" s="83">
        <v>42.356999999999999</v>
      </c>
      <c r="T196" s="83">
        <v>31.927000000000007</v>
      </c>
      <c r="U196" s="83">
        <v>25.122999999999998</v>
      </c>
      <c r="V196" s="83">
        <v>19.053999999999998</v>
      </c>
      <c r="W196" s="83">
        <v>47.905000000000001</v>
      </c>
      <c r="X196" s="83">
        <v>39.731999999999999</v>
      </c>
      <c r="Y196" s="83">
        <v>28.806000000000004</v>
      </c>
      <c r="Z196" s="83">
        <v>2.5110000000000006</v>
      </c>
      <c r="AA196" s="83">
        <v>28.916</v>
      </c>
      <c r="AB196" s="83">
        <v>22.888000000000005</v>
      </c>
      <c r="AC196" s="83">
        <v>15.166999999999998</v>
      </c>
      <c r="AD196" s="83">
        <v>5.9349999999999987</v>
      </c>
    </row>
    <row r="197" spans="1:30" ht="38.25">
      <c r="A197" s="79" t="s">
        <v>459</v>
      </c>
      <c r="B197" s="179">
        <v>0</v>
      </c>
      <c r="C197" s="77">
        <v>0</v>
      </c>
      <c r="D197" s="77">
        <v>0.379</v>
      </c>
      <c r="E197" s="77">
        <v>-9.9999999999999978E-2</v>
      </c>
      <c r="F197" s="77">
        <v>-9.1000000000000025E-2</v>
      </c>
      <c r="G197" s="77">
        <v>-0.188</v>
      </c>
      <c r="H197" s="77">
        <v>0</v>
      </c>
      <c r="I197" s="77">
        <v>0</v>
      </c>
      <c r="J197" s="77">
        <v>0</v>
      </c>
      <c r="K197" s="77">
        <v>0</v>
      </c>
      <c r="L197" s="77">
        <v>0</v>
      </c>
      <c r="M197" s="77">
        <v>0</v>
      </c>
      <c r="N197" s="77">
        <v>0</v>
      </c>
      <c r="O197" s="77">
        <v>0</v>
      </c>
      <c r="P197" s="81"/>
      <c r="Q197" s="287">
        <v>0</v>
      </c>
      <c r="R197" s="81">
        <v>0</v>
      </c>
      <c r="S197" s="81">
        <v>0</v>
      </c>
      <c r="T197" s="81">
        <v>-0.379</v>
      </c>
      <c r="U197" s="81">
        <v>-0.27900000000000003</v>
      </c>
      <c r="V197" s="81">
        <v>-0.188</v>
      </c>
      <c r="W197" s="81">
        <v>0</v>
      </c>
      <c r="X197" s="81">
        <v>0</v>
      </c>
      <c r="Y197" s="81">
        <v>0</v>
      </c>
      <c r="Z197" s="81">
        <v>0</v>
      </c>
      <c r="AA197" s="81">
        <v>0</v>
      </c>
      <c r="AB197" s="81">
        <v>0</v>
      </c>
      <c r="AC197" s="81">
        <v>0</v>
      </c>
      <c r="AD197" s="81">
        <v>0</v>
      </c>
    </row>
    <row r="198" spans="1:30">
      <c r="A198" s="38" t="s">
        <v>111</v>
      </c>
      <c r="B198" s="179">
        <v>-9.4999999999999987E-2</v>
      </c>
      <c r="C198" s="77">
        <v>0.10199999999999999</v>
      </c>
      <c r="D198" s="77">
        <v>0.879</v>
      </c>
      <c r="E198" s="77">
        <v>0</v>
      </c>
      <c r="F198" s="77">
        <v>0</v>
      </c>
      <c r="G198" s="77">
        <v>0</v>
      </c>
      <c r="H198" s="77">
        <v>0</v>
      </c>
      <c r="I198" s="77">
        <v>0</v>
      </c>
      <c r="J198" s="77">
        <v>0</v>
      </c>
      <c r="K198" s="77">
        <v>0</v>
      </c>
      <c r="L198" s="77">
        <v>0</v>
      </c>
      <c r="M198" s="77">
        <v>0</v>
      </c>
      <c r="N198" s="77">
        <v>0</v>
      </c>
      <c r="O198" s="77">
        <v>0</v>
      </c>
      <c r="P198" s="81"/>
      <c r="Q198" s="287">
        <v>7.0000000000000001E-3</v>
      </c>
      <c r="R198" s="81">
        <v>0.10199999999999999</v>
      </c>
      <c r="S198" s="81">
        <v>0.879</v>
      </c>
      <c r="T198" s="81">
        <v>0</v>
      </c>
      <c r="U198" s="81">
        <v>0</v>
      </c>
      <c r="V198" s="81">
        <v>0</v>
      </c>
      <c r="W198" s="81">
        <v>0</v>
      </c>
      <c r="X198" s="81">
        <v>0</v>
      </c>
      <c r="Y198" s="81">
        <v>0</v>
      </c>
      <c r="Z198" s="81">
        <v>0</v>
      </c>
      <c r="AA198" s="81">
        <v>0</v>
      </c>
      <c r="AB198" s="81">
        <v>0</v>
      </c>
      <c r="AC198" s="81">
        <v>0</v>
      </c>
      <c r="AD198" s="81">
        <v>0</v>
      </c>
    </row>
    <row r="199" spans="1:30">
      <c r="A199" s="38" t="s">
        <v>112</v>
      </c>
      <c r="B199" s="179">
        <v>0</v>
      </c>
      <c r="C199" s="77">
        <v>0</v>
      </c>
      <c r="D199" s="77">
        <v>0</v>
      </c>
      <c r="E199" s="77">
        <v>0</v>
      </c>
      <c r="F199" s="77">
        <v>0</v>
      </c>
      <c r="G199" s="77">
        <v>0</v>
      </c>
      <c r="H199" s="77">
        <v>0</v>
      </c>
      <c r="I199" s="77">
        <v>0</v>
      </c>
      <c r="J199" s="77">
        <v>0</v>
      </c>
      <c r="K199" s="77">
        <v>0</v>
      </c>
      <c r="L199" s="77">
        <v>0</v>
      </c>
      <c r="M199" s="77">
        <v>0</v>
      </c>
      <c r="N199" s="77">
        <v>0</v>
      </c>
      <c r="O199" s="77">
        <v>0</v>
      </c>
      <c r="P199" s="81"/>
      <c r="Q199" s="287">
        <v>0</v>
      </c>
      <c r="R199" s="81">
        <v>0</v>
      </c>
      <c r="S199" s="81">
        <v>0</v>
      </c>
      <c r="T199" s="81">
        <v>0</v>
      </c>
      <c r="U199" s="81">
        <v>0</v>
      </c>
      <c r="V199" s="81">
        <v>0</v>
      </c>
      <c r="W199" s="81">
        <v>0</v>
      </c>
      <c r="X199" s="81">
        <v>0</v>
      </c>
      <c r="Y199" s="81">
        <v>0</v>
      </c>
      <c r="Z199" s="81">
        <v>0</v>
      </c>
      <c r="AA199" s="81">
        <v>0</v>
      </c>
      <c r="AB199" s="81">
        <v>0</v>
      </c>
      <c r="AC199" s="81">
        <v>0</v>
      </c>
      <c r="AD199" s="81">
        <v>0</v>
      </c>
    </row>
    <row r="200" spans="1:30">
      <c r="A200" s="38" t="s">
        <v>113</v>
      </c>
      <c r="B200" s="179">
        <v>0</v>
      </c>
      <c r="C200" s="77">
        <v>0</v>
      </c>
      <c r="D200" s="77">
        <v>0</v>
      </c>
      <c r="E200" s="77">
        <v>0</v>
      </c>
      <c r="F200" s="77">
        <v>0</v>
      </c>
      <c r="G200" s="77">
        <v>0</v>
      </c>
      <c r="H200" s="77">
        <v>0</v>
      </c>
      <c r="I200" s="77">
        <v>0</v>
      </c>
      <c r="J200" s="77">
        <v>0</v>
      </c>
      <c r="K200" s="77">
        <v>0</v>
      </c>
      <c r="L200" s="77">
        <v>0</v>
      </c>
      <c r="M200" s="77">
        <v>0</v>
      </c>
      <c r="N200" s="77">
        <v>0</v>
      </c>
      <c r="O200" s="77">
        <v>0</v>
      </c>
      <c r="P200" s="81"/>
      <c r="Q200" s="287">
        <v>0</v>
      </c>
      <c r="R200" s="81">
        <v>0</v>
      </c>
      <c r="S200" s="81">
        <v>0</v>
      </c>
      <c r="T200" s="81">
        <v>0</v>
      </c>
      <c r="U200" s="81">
        <v>0</v>
      </c>
      <c r="V200" s="81">
        <v>0</v>
      </c>
      <c r="W200" s="81">
        <v>0</v>
      </c>
      <c r="X200" s="81">
        <v>0</v>
      </c>
      <c r="Y200" s="81">
        <v>0</v>
      </c>
      <c r="Z200" s="81">
        <v>0</v>
      </c>
      <c r="AA200" s="81">
        <v>0</v>
      </c>
      <c r="AB200" s="81">
        <v>0</v>
      </c>
      <c r="AC200" s="81">
        <v>0</v>
      </c>
      <c r="AD200" s="81">
        <v>0</v>
      </c>
    </row>
    <row r="201" spans="1:30">
      <c r="A201" s="19" t="s">
        <v>114</v>
      </c>
      <c r="B201" s="289">
        <v>24.603000000000002</v>
      </c>
      <c r="C201" s="236">
        <v>14.682</v>
      </c>
      <c r="D201" s="236">
        <v>11.687999999999992</v>
      </c>
      <c r="E201" s="236">
        <v>6.7040000000000077</v>
      </c>
      <c r="F201" s="236">
        <v>5.977999999999998</v>
      </c>
      <c r="G201" s="236">
        <v>18.866</v>
      </c>
      <c r="H201" s="236">
        <v>8.1730000000000018</v>
      </c>
      <c r="I201" s="236">
        <v>10.925999999999995</v>
      </c>
      <c r="J201" s="236">
        <v>26.295000000000005</v>
      </c>
      <c r="K201" s="236">
        <v>2.5110000000000006</v>
      </c>
      <c r="L201" s="236">
        <v>6.0279999999999951</v>
      </c>
      <c r="M201" s="236">
        <v>7.7210000000000072</v>
      </c>
      <c r="N201" s="236">
        <v>9.2319999999999993</v>
      </c>
      <c r="O201" s="236">
        <v>5.9349999999999987</v>
      </c>
      <c r="P201" s="83"/>
      <c r="Q201" s="288">
        <v>39.285000000000004</v>
      </c>
      <c r="R201" s="83">
        <v>14.682</v>
      </c>
      <c r="S201" s="83">
        <v>43.235999999999997</v>
      </c>
      <c r="T201" s="83">
        <v>31.548000000000005</v>
      </c>
      <c r="U201" s="83">
        <v>24.843999999999998</v>
      </c>
      <c r="V201" s="83">
        <v>18.866</v>
      </c>
      <c r="W201" s="83">
        <v>47.905000000000001</v>
      </c>
      <c r="X201" s="83">
        <v>39.731999999999999</v>
      </c>
      <c r="Y201" s="83">
        <v>28.806000000000004</v>
      </c>
      <c r="Z201" s="83">
        <v>2.5110000000000006</v>
      </c>
      <c r="AA201" s="83">
        <v>28.916</v>
      </c>
      <c r="AB201" s="83">
        <v>22.888000000000005</v>
      </c>
      <c r="AC201" s="83">
        <v>15.166999999999998</v>
      </c>
      <c r="AD201" s="83">
        <v>5.9349999999999987</v>
      </c>
    </row>
    <row r="202" spans="1:30">
      <c r="A202" s="38" t="s">
        <v>55</v>
      </c>
      <c r="B202" s="179">
        <v>-3.0753750000000002</v>
      </c>
      <c r="C202" s="77">
        <v>-1.83525</v>
      </c>
      <c r="D202" s="77">
        <v>-0.67229999999999901</v>
      </c>
      <c r="E202" s="77">
        <v>-1.0056000000000012</v>
      </c>
      <c r="F202" s="77">
        <v>-0.89669999999999961</v>
      </c>
      <c r="G202" s="77">
        <v>-2.8298999999999999</v>
      </c>
      <c r="H202" s="77">
        <v>-1.0216250000000002</v>
      </c>
      <c r="I202" s="77">
        <v>-1.3657499999999994</v>
      </c>
      <c r="J202" s="77">
        <v>-3.2868750000000007</v>
      </c>
      <c r="K202" s="77">
        <v>-0.31387500000000007</v>
      </c>
      <c r="L202" s="77">
        <v>-0.75349999999999939</v>
      </c>
      <c r="M202" s="77">
        <v>-0.9651250000000009</v>
      </c>
      <c r="N202" s="77">
        <v>-1.1539999999999999</v>
      </c>
      <c r="O202" s="77">
        <v>-0.74187499999999984</v>
      </c>
      <c r="P202" s="81"/>
      <c r="Q202" s="287">
        <v>-4.9106250000000005</v>
      </c>
      <c r="R202" s="81">
        <v>-1.83525</v>
      </c>
      <c r="S202" s="81">
        <v>-5.4044999999999996</v>
      </c>
      <c r="T202" s="81">
        <v>-4.7322000000000006</v>
      </c>
      <c r="U202" s="81">
        <v>-3.7265999999999995</v>
      </c>
      <c r="V202" s="81">
        <v>-2.8298999999999999</v>
      </c>
      <c r="W202" s="81">
        <v>-5.9881250000000001</v>
      </c>
      <c r="X202" s="81">
        <v>-4.9664999999999999</v>
      </c>
      <c r="Y202" s="81">
        <v>-3.6007500000000006</v>
      </c>
      <c r="Z202" s="81">
        <v>-0.31387500000000007</v>
      </c>
      <c r="AA202" s="81">
        <v>-3.6145</v>
      </c>
      <c r="AB202" s="81">
        <v>-2.8610000000000007</v>
      </c>
      <c r="AC202" s="81">
        <v>-1.8958749999999998</v>
      </c>
      <c r="AD202" s="81">
        <v>-0.74187499999999984</v>
      </c>
    </row>
    <row r="203" spans="1:30">
      <c r="A203" s="38" t="s">
        <v>115</v>
      </c>
      <c r="B203" s="179">
        <v>0</v>
      </c>
      <c r="C203" s="77">
        <v>0</v>
      </c>
      <c r="D203" s="77">
        <v>0</v>
      </c>
      <c r="E203" s="77">
        <v>0</v>
      </c>
      <c r="F203" s="77">
        <v>0</v>
      </c>
      <c r="G203" s="77">
        <v>0</v>
      </c>
      <c r="H203" s="77">
        <v>0</v>
      </c>
      <c r="I203" s="77">
        <v>0</v>
      </c>
      <c r="J203" s="77">
        <v>0</v>
      </c>
      <c r="K203" s="77">
        <v>0</v>
      </c>
      <c r="L203" s="77">
        <v>0</v>
      </c>
      <c r="M203" s="77">
        <v>0</v>
      </c>
      <c r="N203" s="77">
        <v>0</v>
      </c>
      <c r="O203" s="77">
        <v>0</v>
      </c>
      <c r="P203" s="81"/>
      <c r="Q203" s="287">
        <v>0</v>
      </c>
      <c r="R203" s="81">
        <v>0</v>
      </c>
      <c r="S203" s="81">
        <v>0</v>
      </c>
      <c r="T203" s="81">
        <v>0</v>
      </c>
      <c r="U203" s="81">
        <v>0</v>
      </c>
      <c r="V203" s="81">
        <v>0</v>
      </c>
      <c r="W203" s="81">
        <v>0</v>
      </c>
      <c r="X203" s="81">
        <v>0</v>
      </c>
      <c r="Y203" s="81">
        <v>0</v>
      </c>
      <c r="Z203" s="81">
        <v>0</v>
      </c>
      <c r="AA203" s="81">
        <v>0</v>
      </c>
      <c r="AB203" s="81">
        <v>0</v>
      </c>
      <c r="AC203" s="81">
        <v>0</v>
      </c>
      <c r="AD203" s="81">
        <v>0</v>
      </c>
    </row>
    <row r="204" spans="1:30">
      <c r="A204" s="19" t="s">
        <v>116</v>
      </c>
      <c r="B204" s="289">
        <v>21.527625</v>
      </c>
      <c r="C204" s="236">
        <v>12.84675</v>
      </c>
      <c r="D204" s="236">
        <v>11.015699999999995</v>
      </c>
      <c r="E204" s="236">
        <v>5.6984000000000066</v>
      </c>
      <c r="F204" s="236">
        <v>5.0812999999999953</v>
      </c>
      <c r="G204" s="236">
        <v>16.036100000000001</v>
      </c>
      <c r="H204" s="236">
        <v>7.1513750000000016</v>
      </c>
      <c r="I204" s="236">
        <v>9.5602499999999999</v>
      </c>
      <c r="J204" s="236">
        <v>23.008125000000003</v>
      </c>
      <c r="K204" s="236">
        <v>2.1971250000000007</v>
      </c>
      <c r="L204" s="236">
        <v>5.2744999999999962</v>
      </c>
      <c r="M204" s="236">
        <v>6.7558750000000067</v>
      </c>
      <c r="N204" s="236">
        <v>8.0779999999999994</v>
      </c>
      <c r="O204" s="236">
        <v>5.1931249999999984</v>
      </c>
      <c r="P204" s="83"/>
      <c r="Q204" s="288">
        <v>34.374375000000001</v>
      </c>
      <c r="R204" s="83">
        <v>12.84675</v>
      </c>
      <c r="S204" s="83">
        <v>37.831499999999998</v>
      </c>
      <c r="T204" s="83">
        <v>26.815800000000003</v>
      </c>
      <c r="U204" s="83">
        <v>21.117399999999996</v>
      </c>
      <c r="V204" s="83">
        <v>16.036100000000001</v>
      </c>
      <c r="W204" s="83">
        <v>41.916875000000005</v>
      </c>
      <c r="X204" s="83">
        <v>34.765500000000003</v>
      </c>
      <c r="Y204" s="83">
        <v>25.205250000000003</v>
      </c>
      <c r="Z204" s="83">
        <v>2.1971250000000007</v>
      </c>
      <c r="AA204" s="83">
        <v>25.301500000000001</v>
      </c>
      <c r="AB204" s="83">
        <v>20.027000000000005</v>
      </c>
      <c r="AC204" s="83">
        <v>13.271124999999998</v>
      </c>
      <c r="AD204" s="83">
        <v>5.1931249999999984</v>
      </c>
    </row>
    <row r="205" spans="1:30">
      <c r="A205" s="24"/>
      <c r="B205" s="24"/>
      <c r="C205" s="24"/>
      <c r="D205" s="24"/>
      <c r="E205" s="24"/>
      <c r="F205" s="24"/>
      <c r="G205" s="24"/>
      <c r="H205" s="24"/>
      <c r="I205" s="24"/>
      <c r="J205" s="24"/>
      <c r="K205" s="24"/>
      <c r="L205" s="24"/>
      <c r="M205" s="24"/>
      <c r="N205" s="24"/>
      <c r="O205" s="24"/>
      <c r="P205" s="86"/>
      <c r="Q205" s="86"/>
      <c r="R205" s="86"/>
      <c r="S205" s="86"/>
      <c r="T205" s="86"/>
      <c r="U205" s="86"/>
      <c r="V205" s="86"/>
      <c r="W205" s="86"/>
      <c r="X205" s="86"/>
      <c r="Y205" s="86"/>
      <c r="Z205" s="86"/>
      <c r="AA205" s="86"/>
      <c r="AB205" s="86"/>
      <c r="AC205" s="86"/>
      <c r="AD205" s="86"/>
    </row>
    <row r="206" spans="1:30">
      <c r="A206" s="19" t="s">
        <v>43</v>
      </c>
      <c r="B206" s="75" t="s">
        <v>629</v>
      </c>
      <c r="C206" s="75" t="s">
        <v>606</v>
      </c>
      <c r="D206" s="75" t="s">
        <v>593</v>
      </c>
      <c r="E206" s="75" t="s">
        <v>550</v>
      </c>
      <c r="F206" s="75" t="s">
        <v>524</v>
      </c>
      <c r="G206" s="75" t="s">
        <v>513</v>
      </c>
      <c r="H206" s="75" t="s">
        <v>502</v>
      </c>
      <c r="I206" s="75" t="s">
        <v>419</v>
      </c>
      <c r="J206" s="75" t="s">
        <v>401</v>
      </c>
      <c r="K206" s="75" t="s">
        <v>387</v>
      </c>
      <c r="L206" s="75" t="s">
        <v>476</v>
      </c>
      <c r="M206" s="75" t="s">
        <v>477</v>
      </c>
      <c r="N206" s="75" t="s">
        <v>478</v>
      </c>
      <c r="O206" s="75" t="s">
        <v>479</v>
      </c>
      <c r="P206" s="75"/>
      <c r="Q206" s="75" t="s">
        <v>630</v>
      </c>
      <c r="R206" s="75" t="s">
        <v>607</v>
      </c>
      <c r="S206" s="75" t="s">
        <v>594</v>
      </c>
      <c r="T206" s="75" t="s">
        <v>551</v>
      </c>
      <c r="U206" s="75" t="s">
        <v>525</v>
      </c>
      <c r="V206" s="75" t="s">
        <v>514</v>
      </c>
      <c r="W206" s="75" t="s">
        <v>503</v>
      </c>
      <c r="X206" s="75" t="s">
        <v>420</v>
      </c>
      <c r="Y206" s="75" t="s">
        <v>402</v>
      </c>
      <c r="Z206" s="75" t="s">
        <v>388</v>
      </c>
      <c r="AA206" s="75" t="s">
        <v>546</v>
      </c>
      <c r="AB206" s="75" t="s">
        <v>547</v>
      </c>
      <c r="AC206" s="75" t="s">
        <v>548</v>
      </c>
      <c r="AD206" s="75" t="s">
        <v>549</v>
      </c>
    </row>
    <row r="207" spans="1:30">
      <c r="A207" s="21" t="s">
        <v>692</v>
      </c>
      <c r="B207" s="21"/>
      <c r="C207" s="21"/>
      <c r="D207" s="21"/>
      <c r="E207" s="21"/>
      <c r="F207" s="21"/>
      <c r="G207" s="21"/>
      <c r="H207" s="21"/>
      <c r="I207" s="21"/>
      <c r="J207" s="21"/>
      <c r="K207" s="21"/>
      <c r="L207" s="21"/>
      <c r="M207" s="21"/>
      <c r="N207" s="21"/>
      <c r="O207" s="21"/>
      <c r="P207" s="85"/>
      <c r="Q207" s="85"/>
      <c r="R207" s="85"/>
      <c r="S207" s="85"/>
      <c r="T207" s="85"/>
      <c r="U207" s="85"/>
      <c r="V207" s="85"/>
      <c r="W207" s="85"/>
      <c r="X207" s="85"/>
      <c r="Y207" s="85"/>
      <c r="Z207" s="85"/>
      <c r="AA207" s="85"/>
      <c r="AB207" s="85"/>
      <c r="AC207" s="85"/>
      <c r="AD207" s="85"/>
    </row>
    <row r="208" spans="1:30">
      <c r="A208" s="38" t="s">
        <v>44</v>
      </c>
      <c r="B208" s="179">
        <v>0</v>
      </c>
      <c r="C208" s="77">
        <v>0</v>
      </c>
      <c r="D208" s="77">
        <v>0</v>
      </c>
      <c r="E208" s="77">
        <v>0</v>
      </c>
      <c r="F208" s="77">
        <v>0</v>
      </c>
      <c r="G208" s="77">
        <v>0</v>
      </c>
      <c r="H208" s="77">
        <v>4.9000000000000002E-2</v>
      </c>
      <c r="I208" s="77">
        <v>-2.3000000000000003E-2</v>
      </c>
      <c r="J208" s="77">
        <v>-1.3999999999999999E-2</v>
      </c>
      <c r="K208" s="77">
        <v>-1.2E-2</v>
      </c>
      <c r="L208" s="77"/>
      <c r="M208" s="77"/>
      <c r="N208" s="77"/>
      <c r="O208" s="77"/>
      <c r="P208" s="81"/>
      <c r="Q208" s="287">
        <v>0</v>
      </c>
      <c r="R208" s="81">
        <v>0</v>
      </c>
      <c r="S208" s="81">
        <v>0</v>
      </c>
      <c r="T208" s="81">
        <v>0</v>
      </c>
      <c r="U208" s="81">
        <v>0</v>
      </c>
      <c r="V208" s="81">
        <v>0</v>
      </c>
      <c r="W208" s="81">
        <v>0</v>
      </c>
      <c r="X208" s="81">
        <v>-4.9000000000000002E-2</v>
      </c>
      <c r="Y208" s="81">
        <v>-2.5999999999999999E-2</v>
      </c>
      <c r="Z208" s="81">
        <v>-1.2E-2</v>
      </c>
      <c r="AA208" s="81">
        <v>-0.157</v>
      </c>
      <c r="AB208" s="81"/>
      <c r="AC208" s="81"/>
      <c r="AD208" s="81"/>
    </row>
    <row r="209" spans="1:30">
      <c r="A209" s="38" t="s">
        <v>109</v>
      </c>
      <c r="B209" s="179">
        <v>7.4970000000000008</v>
      </c>
      <c r="C209" s="77">
        <v>6.6909999999999998</v>
      </c>
      <c r="D209" s="77">
        <v>7.0902727272727262</v>
      </c>
      <c r="E209" s="77">
        <v>7.2190000000000012</v>
      </c>
      <c r="F209" s="77">
        <v>7.2569999999999997</v>
      </c>
      <c r="G209" s="77">
        <v>6.7050000000000001</v>
      </c>
      <c r="H209" s="77">
        <v>8.8099999999999987</v>
      </c>
      <c r="I209" s="77">
        <v>7.2140000000000004</v>
      </c>
      <c r="J209" s="77">
        <v>7.3789999999999996</v>
      </c>
      <c r="K209" s="77">
        <v>6.1340000000000003</v>
      </c>
      <c r="L209" s="77"/>
      <c r="M209" s="77"/>
      <c r="N209" s="77"/>
      <c r="O209" s="77"/>
      <c r="P209" s="81"/>
      <c r="Q209" s="287">
        <v>14.188000000000001</v>
      </c>
      <c r="R209" s="81">
        <v>6.6909999999999998</v>
      </c>
      <c r="S209" s="81">
        <v>28.271272727272727</v>
      </c>
      <c r="T209" s="81">
        <v>21.181000000000001</v>
      </c>
      <c r="U209" s="81">
        <v>13.962</v>
      </c>
      <c r="V209" s="81">
        <v>6.7050000000000001</v>
      </c>
      <c r="W209" s="81">
        <v>29.536999999999999</v>
      </c>
      <c r="X209" s="81">
        <v>20.727</v>
      </c>
      <c r="Y209" s="81">
        <v>13.513</v>
      </c>
      <c r="Z209" s="81">
        <v>6.1340000000000003</v>
      </c>
      <c r="AA209" s="81">
        <v>26.672000000000001</v>
      </c>
      <c r="AB209" s="81"/>
      <c r="AC209" s="81"/>
      <c r="AD209" s="81"/>
    </row>
    <row r="210" spans="1:30">
      <c r="A210" s="38" t="s">
        <v>46</v>
      </c>
      <c r="B210" s="179">
        <v>0.56000000000000005</v>
      </c>
      <c r="C210" s="77">
        <v>1.9039999999999999</v>
      </c>
      <c r="D210" s="77">
        <v>1.5710000000000006</v>
      </c>
      <c r="E210" s="77">
        <v>2.9469999999999996</v>
      </c>
      <c r="F210" s="77">
        <v>0.82000000000000006</v>
      </c>
      <c r="G210" s="77">
        <v>1.0589999999999999</v>
      </c>
      <c r="H210" s="77">
        <v>0.71700000000000008</v>
      </c>
      <c r="I210" s="77">
        <v>1.2890000000000001</v>
      </c>
      <c r="J210" s="77">
        <v>1.3729999999999998</v>
      </c>
      <c r="K210" s="77">
        <v>1.1160000000000001</v>
      </c>
      <c r="L210" s="77"/>
      <c r="M210" s="77"/>
      <c r="N210" s="77"/>
      <c r="O210" s="77"/>
      <c r="P210" s="81"/>
      <c r="Q210" s="287">
        <v>2.464</v>
      </c>
      <c r="R210" s="81">
        <v>1.9039999999999999</v>
      </c>
      <c r="S210" s="81">
        <v>6.3970000000000002</v>
      </c>
      <c r="T210" s="81">
        <v>4.8259999999999996</v>
      </c>
      <c r="U210" s="81">
        <v>1.879</v>
      </c>
      <c r="V210" s="81">
        <v>1.0589999999999999</v>
      </c>
      <c r="W210" s="81">
        <v>4.4950000000000001</v>
      </c>
      <c r="X210" s="81">
        <v>3.778</v>
      </c>
      <c r="Y210" s="81">
        <v>2.4889999999999999</v>
      </c>
      <c r="Z210" s="81">
        <v>1.1160000000000001</v>
      </c>
      <c r="AA210" s="81">
        <v>7.3479999999999999</v>
      </c>
      <c r="AB210" s="81"/>
      <c r="AC210" s="81"/>
      <c r="AD210" s="81"/>
    </row>
    <row r="211" spans="1:30">
      <c r="A211" s="19" t="s">
        <v>47</v>
      </c>
      <c r="B211" s="289">
        <v>8.0570000000000022</v>
      </c>
      <c r="C211" s="236">
        <v>8.5949999999999989</v>
      </c>
      <c r="D211" s="236">
        <v>8.6612727272727277</v>
      </c>
      <c r="E211" s="236">
        <v>10.166000000000002</v>
      </c>
      <c r="F211" s="236">
        <v>8.0769999999999982</v>
      </c>
      <c r="G211" s="236">
        <v>7.7640000000000002</v>
      </c>
      <c r="H211" s="236">
        <v>9.575999999999997</v>
      </c>
      <c r="I211" s="236">
        <v>8.48</v>
      </c>
      <c r="J211" s="236">
        <v>8.7379999999999978</v>
      </c>
      <c r="K211" s="236">
        <v>7.2380000000000013</v>
      </c>
      <c r="L211" s="236"/>
      <c r="M211" s="236"/>
      <c r="N211" s="236"/>
      <c r="O211" s="236"/>
      <c r="P211" s="83"/>
      <c r="Q211" s="288">
        <v>16.652000000000001</v>
      </c>
      <c r="R211" s="83">
        <v>8.5949999999999989</v>
      </c>
      <c r="S211" s="83">
        <v>34.668272727272729</v>
      </c>
      <c r="T211" s="83">
        <v>26.007000000000001</v>
      </c>
      <c r="U211" s="83">
        <v>15.840999999999999</v>
      </c>
      <c r="V211" s="83">
        <v>7.7640000000000002</v>
      </c>
      <c r="W211" s="83">
        <v>34.031999999999996</v>
      </c>
      <c r="X211" s="83">
        <v>24.456</v>
      </c>
      <c r="Y211" s="83">
        <v>15.975999999999999</v>
      </c>
      <c r="Z211" s="83">
        <v>7.2380000000000013</v>
      </c>
      <c r="AA211" s="83">
        <v>33.863</v>
      </c>
      <c r="AB211" s="83"/>
      <c r="AC211" s="83"/>
      <c r="AD211" s="83"/>
    </row>
    <row r="212" spans="1:30">
      <c r="A212" s="19" t="s">
        <v>50</v>
      </c>
      <c r="B212" s="289">
        <v>-5.8069999999999995</v>
      </c>
      <c r="C212" s="236">
        <v>-5.2069999999999999</v>
      </c>
      <c r="D212" s="236">
        <v>-8.4502500000000005</v>
      </c>
      <c r="E212" s="236">
        <v>-5.2577500000000015</v>
      </c>
      <c r="F212" s="236">
        <v>-5.1129999999999995</v>
      </c>
      <c r="G212" s="236">
        <v>-4.7439999999999998</v>
      </c>
      <c r="H212" s="236">
        <v>-6.0560000000000009</v>
      </c>
      <c r="I212" s="236">
        <v>-4.8770000000000007</v>
      </c>
      <c r="J212" s="236">
        <v>-4.4659999999999993</v>
      </c>
      <c r="K212" s="236">
        <v>-4.25</v>
      </c>
      <c r="L212" s="236"/>
      <c r="M212" s="236"/>
      <c r="N212" s="236"/>
      <c r="O212" s="236"/>
      <c r="P212" s="83"/>
      <c r="Q212" s="288">
        <v>-11.013999999999999</v>
      </c>
      <c r="R212" s="83">
        <v>-5.2069999999999999</v>
      </c>
      <c r="S212" s="83">
        <v>-23.565000000000001</v>
      </c>
      <c r="T212" s="83">
        <v>-15.114750000000001</v>
      </c>
      <c r="U212" s="83">
        <v>-9.8569999999999993</v>
      </c>
      <c r="V212" s="83">
        <v>-4.7439999999999998</v>
      </c>
      <c r="W212" s="83">
        <v>-19.649000000000001</v>
      </c>
      <c r="X212" s="83">
        <v>-13.593</v>
      </c>
      <c r="Y212" s="83">
        <v>-8.7159999999999993</v>
      </c>
      <c r="Z212" s="83">
        <v>-4.25</v>
      </c>
      <c r="AA212" s="83">
        <v>-17.206</v>
      </c>
      <c r="AB212" s="83"/>
      <c r="AC212" s="83"/>
      <c r="AD212" s="83"/>
    </row>
    <row r="213" spans="1:30">
      <c r="A213" s="19" t="s">
        <v>110</v>
      </c>
      <c r="B213" s="289">
        <v>2.2500000000000027</v>
      </c>
      <c r="C213" s="236">
        <v>3.387999999999999</v>
      </c>
      <c r="D213" s="236">
        <v>0.2110227272727272</v>
      </c>
      <c r="E213" s="236">
        <v>4.9082500000000007</v>
      </c>
      <c r="F213" s="236">
        <v>2.9639999999999995</v>
      </c>
      <c r="G213" s="236">
        <v>3.0200000000000005</v>
      </c>
      <c r="H213" s="236">
        <v>3.519999999999996</v>
      </c>
      <c r="I213" s="236">
        <v>3.6029999999999998</v>
      </c>
      <c r="J213" s="236">
        <v>4.2719999999999985</v>
      </c>
      <c r="K213" s="236">
        <v>2.9880000000000013</v>
      </c>
      <c r="L213" s="236"/>
      <c r="M213" s="236"/>
      <c r="N213" s="236"/>
      <c r="O213" s="236"/>
      <c r="P213" s="83"/>
      <c r="Q213" s="288">
        <v>5.6380000000000017</v>
      </c>
      <c r="R213" s="83">
        <v>3.387999999999999</v>
      </c>
      <c r="S213" s="83">
        <v>11.103272727272728</v>
      </c>
      <c r="T213" s="83">
        <v>10.892250000000001</v>
      </c>
      <c r="U213" s="83">
        <v>5.984</v>
      </c>
      <c r="V213" s="83">
        <v>3.0200000000000005</v>
      </c>
      <c r="W213" s="83">
        <v>14.382999999999996</v>
      </c>
      <c r="X213" s="83">
        <v>10.863</v>
      </c>
      <c r="Y213" s="83">
        <v>7.26</v>
      </c>
      <c r="Z213" s="83">
        <v>2.9880000000000013</v>
      </c>
      <c r="AA213" s="83">
        <v>16.657</v>
      </c>
      <c r="AB213" s="83"/>
      <c r="AC213" s="83"/>
      <c r="AD213" s="83"/>
    </row>
    <row r="214" spans="1:30" ht="27.75" customHeight="1">
      <c r="A214" s="79" t="s">
        <v>459</v>
      </c>
      <c r="B214" s="179">
        <v>0</v>
      </c>
      <c r="C214" s="77">
        <v>0</v>
      </c>
      <c r="D214" s="77">
        <v>0</v>
      </c>
      <c r="E214" s="77">
        <v>0</v>
      </c>
      <c r="F214" s="77">
        <v>0</v>
      </c>
      <c r="G214" s="77">
        <v>0</v>
      </c>
      <c r="H214" s="77">
        <v>0</v>
      </c>
      <c r="I214" s="77">
        <v>0</v>
      </c>
      <c r="J214" s="77">
        <v>0</v>
      </c>
      <c r="K214" s="77">
        <v>0</v>
      </c>
      <c r="L214" s="77"/>
      <c r="M214" s="77"/>
      <c r="N214" s="77"/>
      <c r="O214" s="77"/>
      <c r="P214" s="81"/>
      <c r="Q214" s="287">
        <v>0</v>
      </c>
      <c r="R214" s="81">
        <v>0</v>
      </c>
      <c r="S214" s="81">
        <v>0</v>
      </c>
      <c r="T214" s="81">
        <v>0</v>
      </c>
      <c r="U214" s="81">
        <v>0</v>
      </c>
      <c r="V214" s="81">
        <v>0</v>
      </c>
      <c r="W214" s="81">
        <v>0</v>
      </c>
      <c r="X214" s="81">
        <v>0</v>
      </c>
      <c r="Y214" s="81">
        <v>0</v>
      </c>
      <c r="Z214" s="81">
        <v>0</v>
      </c>
      <c r="AA214" s="81">
        <v>0</v>
      </c>
      <c r="AB214" s="81"/>
      <c r="AC214" s="81"/>
      <c r="AD214" s="81"/>
    </row>
    <row r="215" spans="1:30">
      <c r="A215" s="38" t="s">
        <v>111</v>
      </c>
      <c r="B215" s="179">
        <v>0</v>
      </c>
      <c r="C215" s="77">
        <v>0</v>
      </c>
      <c r="D215" s="77">
        <v>0</v>
      </c>
      <c r="E215" s="77">
        <v>0</v>
      </c>
      <c r="F215" s="77">
        <v>0</v>
      </c>
      <c r="G215" s="77">
        <v>0</v>
      </c>
      <c r="H215" s="77">
        <v>0</v>
      </c>
      <c r="I215" s="77">
        <v>0</v>
      </c>
      <c r="J215" s="77">
        <v>0</v>
      </c>
      <c r="K215" s="77">
        <v>0</v>
      </c>
      <c r="L215" s="77"/>
      <c r="M215" s="77"/>
      <c r="N215" s="77"/>
      <c r="O215" s="77"/>
      <c r="P215" s="81"/>
      <c r="Q215" s="287">
        <v>0</v>
      </c>
      <c r="R215" s="81">
        <v>0</v>
      </c>
      <c r="S215" s="81">
        <v>0</v>
      </c>
      <c r="T215" s="81">
        <v>0</v>
      </c>
      <c r="U215" s="81">
        <v>0</v>
      </c>
      <c r="V215" s="81">
        <v>0</v>
      </c>
      <c r="W215" s="81">
        <v>0</v>
      </c>
      <c r="X215" s="81">
        <v>0</v>
      </c>
      <c r="Y215" s="81">
        <v>0</v>
      </c>
      <c r="Z215" s="81">
        <v>0</v>
      </c>
      <c r="AA215" s="81">
        <v>0</v>
      </c>
      <c r="AB215" s="81"/>
      <c r="AC215" s="81"/>
      <c r="AD215" s="81"/>
    </row>
    <row r="216" spans="1:30">
      <c r="A216" s="38" t="s">
        <v>112</v>
      </c>
      <c r="B216" s="179">
        <v>0</v>
      </c>
      <c r="C216" s="77">
        <v>0</v>
      </c>
      <c r="D216" s="77">
        <v>0</v>
      </c>
      <c r="E216" s="77">
        <v>1.7210000000000001</v>
      </c>
      <c r="F216" s="77">
        <v>0</v>
      </c>
      <c r="G216" s="77">
        <v>0</v>
      </c>
      <c r="H216" s="77">
        <v>-0.38</v>
      </c>
      <c r="I216" s="77">
        <v>0</v>
      </c>
      <c r="J216" s="77">
        <v>0</v>
      </c>
      <c r="K216" s="77">
        <v>0</v>
      </c>
      <c r="L216" s="77"/>
      <c r="M216" s="77"/>
      <c r="N216" s="77"/>
      <c r="O216" s="77"/>
      <c r="P216" s="81"/>
      <c r="Q216" s="287">
        <v>0</v>
      </c>
      <c r="R216" s="81">
        <v>0</v>
      </c>
      <c r="S216" s="81">
        <v>1.7210000000000001</v>
      </c>
      <c r="T216" s="81">
        <v>1.7210000000000001</v>
      </c>
      <c r="U216" s="81">
        <v>0</v>
      </c>
      <c r="V216" s="81">
        <v>0</v>
      </c>
      <c r="W216" s="81">
        <v>-0.38</v>
      </c>
      <c r="X216" s="81">
        <v>0</v>
      </c>
      <c r="Y216" s="81">
        <v>0</v>
      </c>
      <c r="Z216" s="81">
        <v>0</v>
      </c>
      <c r="AA216" s="81">
        <v>0</v>
      </c>
      <c r="AB216" s="81"/>
      <c r="AC216" s="81"/>
      <c r="AD216" s="81"/>
    </row>
    <row r="217" spans="1:30">
      <c r="A217" s="38" t="s">
        <v>113</v>
      </c>
      <c r="B217" s="179">
        <v>0</v>
      </c>
      <c r="C217" s="77">
        <v>0</v>
      </c>
      <c r="D217" s="77">
        <v>0</v>
      </c>
      <c r="E217" s="77">
        <v>0</v>
      </c>
      <c r="F217" s="77">
        <v>0</v>
      </c>
      <c r="G217" s="77">
        <v>0</v>
      </c>
      <c r="H217" s="77">
        <v>0</v>
      </c>
      <c r="I217" s="77">
        <v>0</v>
      </c>
      <c r="J217" s="77">
        <v>0</v>
      </c>
      <c r="K217" s="77">
        <v>0</v>
      </c>
      <c r="L217" s="77"/>
      <c r="M217" s="77"/>
      <c r="N217" s="77"/>
      <c r="O217" s="77"/>
      <c r="P217" s="81"/>
      <c r="Q217" s="287">
        <v>0</v>
      </c>
      <c r="R217" s="81">
        <v>0</v>
      </c>
      <c r="S217" s="81">
        <v>0</v>
      </c>
      <c r="T217" s="81">
        <v>0</v>
      </c>
      <c r="U217" s="81">
        <v>0</v>
      </c>
      <c r="V217" s="81">
        <v>0</v>
      </c>
      <c r="W217" s="81">
        <v>0</v>
      </c>
      <c r="X217" s="81">
        <v>0</v>
      </c>
      <c r="Y217" s="81">
        <v>0</v>
      </c>
      <c r="Z217" s="81">
        <v>0</v>
      </c>
      <c r="AA217" s="81">
        <v>0</v>
      </c>
      <c r="AB217" s="81"/>
      <c r="AC217" s="81"/>
      <c r="AD217" s="81"/>
    </row>
    <row r="218" spans="1:30">
      <c r="A218" s="19" t="s">
        <v>114</v>
      </c>
      <c r="B218" s="289">
        <v>2.2500000000000027</v>
      </c>
      <c r="C218" s="236">
        <v>3.387999999999999</v>
      </c>
      <c r="D218" s="236">
        <v>0.2110227272727272</v>
      </c>
      <c r="E218" s="236">
        <v>6.6292500000000008</v>
      </c>
      <c r="F218" s="236">
        <v>2.9639999999999995</v>
      </c>
      <c r="G218" s="236">
        <v>3.0200000000000005</v>
      </c>
      <c r="H218" s="236">
        <v>3.1399999999999952</v>
      </c>
      <c r="I218" s="236">
        <v>3.6029999999999998</v>
      </c>
      <c r="J218" s="236">
        <v>4.2719999999999985</v>
      </c>
      <c r="K218" s="236">
        <v>2.9880000000000013</v>
      </c>
      <c r="L218" s="236"/>
      <c r="M218" s="236"/>
      <c r="N218" s="236"/>
      <c r="O218" s="236"/>
      <c r="P218" s="83"/>
      <c r="Q218" s="288">
        <v>5.6380000000000017</v>
      </c>
      <c r="R218" s="83">
        <v>3.387999999999999</v>
      </c>
      <c r="S218" s="83">
        <v>12.824272727272728</v>
      </c>
      <c r="T218" s="83">
        <v>12.613250000000001</v>
      </c>
      <c r="U218" s="83">
        <v>5.984</v>
      </c>
      <c r="V218" s="83">
        <v>3.0200000000000005</v>
      </c>
      <c r="W218" s="83">
        <v>14.002999999999995</v>
      </c>
      <c r="X218" s="83">
        <v>10.863</v>
      </c>
      <c r="Y218" s="83">
        <v>7.26</v>
      </c>
      <c r="Z218" s="83">
        <v>2.9880000000000013</v>
      </c>
      <c r="AA218" s="83">
        <v>16.657</v>
      </c>
      <c r="AB218" s="83"/>
      <c r="AC218" s="83"/>
      <c r="AD218" s="83"/>
    </row>
    <row r="219" spans="1:30">
      <c r="A219" s="38" t="s">
        <v>55</v>
      </c>
      <c r="B219" s="179">
        <v>-0.26699999999999996</v>
      </c>
      <c r="C219" s="77">
        <v>-0.313</v>
      </c>
      <c r="D219" s="77">
        <v>-0.18599999999999994</v>
      </c>
      <c r="E219" s="77">
        <v>-0.3610000000000001</v>
      </c>
      <c r="F219" s="77">
        <v>-0.38699999999999996</v>
      </c>
      <c r="G219" s="77">
        <v>-0.44700000000000001</v>
      </c>
      <c r="H219" s="77">
        <v>-0.81999999999999984</v>
      </c>
      <c r="I219" s="77">
        <v>-0.12999999999999989</v>
      </c>
      <c r="J219" s="77">
        <v>-0.52600000000000013</v>
      </c>
      <c r="K219" s="77">
        <v>-0.59399999999999997</v>
      </c>
      <c r="L219" s="77"/>
      <c r="M219" s="77"/>
      <c r="N219" s="77"/>
      <c r="O219" s="77"/>
      <c r="P219" s="81"/>
      <c r="Q219" s="287">
        <v>-0.57999999999999996</v>
      </c>
      <c r="R219" s="81">
        <v>-0.313</v>
      </c>
      <c r="S219" s="81">
        <v>-1.381</v>
      </c>
      <c r="T219" s="81">
        <v>-1.1950000000000001</v>
      </c>
      <c r="U219" s="81">
        <v>-0.83399999999999996</v>
      </c>
      <c r="V219" s="81">
        <v>-0.44700000000000001</v>
      </c>
      <c r="W219" s="81">
        <v>-2.0699999999999998</v>
      </c>
      <c r="X219" s="81">
        <v>-1.25</v>
      </c>
      <c r="Y219" s="81">
        <v>-1.1200000000000001</v>
      </c>
      <c r="Z219" s="81">
        <v>-0.59399999999999997</v>
      </c>
      <c r="AA219" s="81">
        <v>-1.641</v>
      </c>
      <c r="AB219" s="81"/>
      <c r="AC219" s="81"/>
      <c r="AD219" s="81"/>
    </row>
    <row r="220" spans="1:30">
      <c r="A220" s="38" t="s">
        <v>115</v>
      </c>
      <c r="B220" s="179">
        <v>0</v>
      </c>
      <c r="C220" s="77">
        <v>-0.76849999999999996</v>
      </c>
      <c r="D220" s="77">
        <v>0</v>
      </c>
      <c r="E220" s="77">
        <v>-1.5660625000000001</v>
      </c>
      <c r="F220" s="77">
        <v>-0.64450000000000007</v>
      </c>
      <c r="G220" s="77">
        <v>-0.63900000000000001</v>
      </c>
      <c r="H220" s="77">
        <v>-0.58099999999999996</v>
      </c>
      <c r="I220" s="77">
        <v>-0.8680000000000001</v>
      </c>
      <c r="J220" s="77">
        <v>-0.93599999999999994</v>
      </c>
      <c r="K220" s="77">
        <v>-0.59899999999999998</v>
      </c>
      <c r="L220" s="77"/>
      <c r="M220" s="77"/>
      <c r="N220" s="77"/>
      <c r="O220" s="77"/>
      <c r="P220" s="81"/>
      <c r="Q220" s="287">
        <v>-0.76849999999999996</v>
      </c>
      <c r="R220" s="81">
        <v>-0.76849999999999996</v>
      </c>
      <c r="S220" s="81">
        <v>-2.8495625000000002</v>
      </c>
      <c r="T220" s="81">
        <v>-2.8495625000000002</v>
      </c>
      <c r="U220" s="81">
        <v>-1.2835000000000001</v>
      </c>
      <c r="V220" s="81">
        <v>-0.63900000000000001</v>
      </c>
      <c r="W220" s="81">
        <v>-2.984</v>
      </c>
      <c r="X220" s="81">
        <v>-2.403</v>
      </c>
      <c r="Y220" s="81">
        <v>-1.5349999999999999</v>
      </c>
      <c r="Z220" s="81">
        <v>-0.59899999999999998</v>
      </c>
      <c r="AA220" s="81">
        <v>-2.9710000000000001</v>
      </c>
      <c r="AB220" s="81"/>
      <c r="AC220" s="81"/>
      <c r="AD220" s="81"/>
    </row>
    <row r="221" spans="1:30">
      <c r="A221" s="19" t="s">
        <v>116</v>
      </c>
      <c r="B221" s="289">
        <v>1.9830000000000032</v>
      </c>
      <c r="C221" s="236">
        <v>2.3064999999999989</v>
      </c>
      <c r="D221" s="236">
        <v>2.5022727272727252E-2</v>
      </c>
      <c r="E221" s="236">
        <v>4.7021874999999991</v>
      </c>
      <c r="F221" s="236">
        <v>1.9324999999999999</v>
      </c>
      <c r="G221" s="236">
        <v>1.9340000000000004</v>
      </c>
      <c r="H221" s="236">
        <v>1.7389999999999954</v>
      </c>
      <c r="I221" s="236">
        <v>2.6049999999999995</v>
      </c>
      <c r="J221" s="236">
        <v>2.8099999999999978</v>
      </c>
      <c r="K221" s="236">
        <v>1.7950000000000015</v>
      </c>
      <c r="L221" s="236"/>
      <c r="M221" s="236"/>
      <c r="N221" s="236"/>
      <c r="O221" s="236"/>
      <c r="P221" s="83"/>
      <c r="Q221" s="288">
        <v>4.2895000000000021</v>
      </c>
      <c r="R221" s="83">
        <v>2.3064999999999989</v>
      </c>
      <c r="S221" s="83">
        <v>8.5937102272727266</v>
      </c>
      <c r="T221" s="83">
        <v>8.5686874999999993</v>
      </c>
      <c r="U221" s="83">
        <v>3.8665000000000003</v>
      </c>
      <c r="V221" s="83">
        <v>1.9340000000000004</v>
      </c>
      <c r="W221" s="83">
        <v>8.9489999999999945</v>
      </c>
      <c r="X221" s="83">
        <v>7.2099999999999991</v>
      </c>
      <c r="Y221" s="83">
        <v>4.6049999999999995</v>
      </c>
      <c r="Z221" s="83">
        <v>1.7950000000000015</v>
      </c>
      <c r="AA221" s="83">
        <v>12.045</v>
      </c>
      <c r="AB221" s="83"/>
      <c r="AC221" s="83"/>
      <c r="AD221" s="83"/>
    </row>
    <row r="223" spans="1:30">
      <c r="A223" s="19" t="s">
        <v>43</v>
      </c>
      <c r="B223" s="75" t="s">
        <v>629</v>
      </c>
      <c r="C223" s="75" t="s">
        <v>606</v>
      </c>
      <c r="D223" s="75" t="s">
        <v>593</v>
      </c>
      <c r="E223" s="75" t="s">
        <v>550</v>
      </c>
      <c r="F223" s="75" t="s">
        <v>524</v>
      </c>
      <c r="G223" s="75" t="s">
        <v>513</v>
      </c>
      <c r="H223" s="75" t="s">
        <v>502</v>
      </c>
      <c r="I223" s="75" t="s">
        <v>419</v>
      </c>
      <c r="J223" s="75" t="s">
        <v>401</v>
      </c>
      <c r="K223" s="75" t="s">
        <v>387</v>
      </c>
      <c r="L223" s="75" t="s">
        <v>476</v>
      </c>
      <c r="M223" s="75" t="s">
        <v>477</v>
      </c>
      <c r="N223" s="75" t="s">
        <v>478</v>
      </c>
      <c r="O223" s="75" t="s">
        <v>479</v>
      </c>
      <c r="P223" s="75"/>
      <c r="Q223" s="75" t="s">
        <v>630</v>
      </c>
      <c r="R223" s="75" t="s">
        <v>607</v>
      </c>
      <c r="S223" s="75" t="s">
        <v>594</v>
      </c>
      <c r="T223" s="75" t="s">
        <v>551</v>
      </c>
      <c r="U223" s="75" t="s">
        <v>525</v>
      </c>
      <c r="V223" s="75" t="s">
        <v>514</v>
      </c>
      <c r="W223" s="75" t="s">
        <v>503</v>
      </c>
      <c r="X223" s="75" t="s">
        <v>420</v>
      </c>
      <c r="Y223" s="75" t="s">
        <v>402</v>
      </c>
      <c r="Z223" s="75" t="s">
        <v>388</v>
      </c>
      <c r="AA223" s="75" t="s">
        <v>715</v>
      </c>
      <c r="AB223" s="75" t="s">
        <v>716</v>
      </c>
      <c r="AC223" s="75" t="s">
        <v>717</v>
      </c>
      <c r="AD223" s="75" t="s">
        <v>718</v>
      </c>
    </row>
    <row r="224" spans="1:30">
      <c r="A224" s="21" t="s">
        <v>19</v>
      </c>
      <c r="B224" s="21"/>
      <c r="C224" s="21"/>
      <c r="D224" s="21"/>
      <c r="E224" s="21"/>
      <c r="F224" s="21"/>
      <c r="G224" s="21"/>
      <c r="H224" s="21"/>
      <c r="I224" s="21"/>
      <c r="J224" s="21"/>
      <c r="K224" s="21"/>
      <c r="L224" s="21"/>
      <c r="M224" s="21"/>
      <c r="N224" s="21"/>
      <c r="O224" s="21"/>
      <c r="P224" s="85"/>
      <c r="Q224" s="85"/>
      <c r="R224" s="85"/>
      <c r="S224" s="85"/>
      <c r="T224" s="85"/>
      <c r="U224" s="85"/>
      <c r="V224" s="85"/>
      <c r="W224" s="85"/>
      <c r="X224" s="85"/>
      <c r="Y224" s="85"/>
      <c r="Z224" s="85"/>
      <c r="AA224" s="85"/>
      <c r="AB224" s="85"/>
      <c r="AC224" s="85"/>
      <c r="AD224" s="85"/>
    </row>
    <row r="225" spans="1:30">
      <c r="A225" s="38" t="s">
        <v>44</v>
      </c>
      <c r="B225" s="179">
        <v>-5.3420000000000041</v>
      </c>
      <c r="C225" s="77">
        <v>-1.1420000000000012</v>
      </c>
      <c r="D225" s="77">
        <v>-0.38599999999994949</v>
      </c>
      <c r="E225" s="77">
        <v>-1.3949999999999889</v>
      </c>
      <c r="F225" s="77">
        <v>-1.7179999999999715</v>
      </c>
      <c r="G225" s="77">
        <v>-0.8370000000000033</v>
      </c>
      <c r="H225" s="77">
        <v>-0.45600000000002749</v>
      </c>
      <c r="I225" s="77">
        <v>-0.93600000000000017</v>
      </c>
      <c r="J225" s="77">
        <v>-0.23999999999999988</v>
      </c>
      <c r="K225" s="77">
        <v>-0.78300000000000003</v>
      </c>
      <c r="L225" s="77">
        <v>3.4689999999999994</v>
      </c>
      <c r="M225" s="77">
        <v>2.6640000000000006</v>
      </c>
      <c r="N225" s="77">
        <v>0.1509999999999998</v>
      </c>
      <c r="O225" s="77">
        <v>4.3479999999999999</v>
      </c>
      <c r="P225" s="81"/>
      <c r="Q225" s="287">
        <v>-6.4840000000000053</v>
      </c>
      <c r="R225" s="81">
        <v>-1.1420000000000012</v>
      </c>
      <c r="S225" s="81">
        <v>-4.3359999999999133</v>
      </c>
      <c r="T225" s="81">
        <v>-3.9499999999999638</v>
      </c>
      <c r="U225" s="81">
        <v>-2.5549999999999748</v>
      </c>
      <c r="V225" s="81">
        <v>-0.8370000000000033</v>
      </c>
      <c r="W225" s="81">
        <v>-2.4150000000000276</v>
      </c>
      <c r="X225" s="81">
        <v>-1.9590000000000001</v>
      </c>
      <c r="Y225" s="81">
        <v>-1.0229999999999999</v>
      </c>
      <c r="Z225" s="81">
        <v>-0.78300000000000003</v>
      </c>
      <c r="AA225" s="81">
        <v>10.632</v>
      </c>
      <c r="AB225" s="81">
        <v>7.1630000000000003</v>
      </c>
      <c r="AC225" s="81">
        <v>4.4989999999999997</v>
      </c>
      <c r="AD225" s="81">
        <v>4.3479999999999999</v>
      </c>
    </row>
    <row r="226" spans="1:30">
      <c r="A226" s="38" t="s">
        <v>109</v>
      </c>
      <c r="B226" s="179">
        <v>1.5519999999999952</v>
      </c>
      <c r="C226" s="77">
        <v>1.4449999999999994</v>
      </c>
      <c r="D226" s="77">
        <v>1.694727272727242</v>
      </c>
      <c r="E226" s="77">
        <v>1.3640000000000079</v>
      </c>
      <c r="F226" s="77">
        <v>1.2869999999999919</v>
      </c>
      <c r="G226" s="77">
        <v>1.2430000000000021</v>
      </c>
      <c r="H226" s="77">
        <v>1.3509999999999884</v>
      </c>
      <c r="I226" s="77">
        <v>0.79899999999999771</v>
      </c>
      <c r="J226" s="77">
        <v>0.96800000000000086</v>
      </c>
      <c r="K226" s="77">
        <v>1.2749999999999995</v>
      </c>
      <c r="L226" s="77">
        <v>-17.032</v>
      </c>
      <c r="M226" s="77">
        <v>7.706999999999999</v>
      </c>
      <c r="N226" s="77">
        <v>8.1419999999999995</v>
      </c>
      <c r="O226" s="77">
        <v>6.2430000000000003</v>
      </c>
      <c r="P226" s="81"/>
      <c r="Q226" s="287">
        <v>2.9969999999999946</v>
      </c>
      <c r="R226" s="81">
        <v>1.4449999999999994</v>
      </c>
      <c r="S226" s="81">
        <v>5.5887272727272439</v>
      </c>
      <c r="T226" s="81">
        <v>3.8940000000000019</v>
      </c>
      <c r="U226" s="81">
        <v>2.529999999999994</v>
      </c>
      <c r="V226" s="81">
        <v>1.2430000000000021</v>
      </c>
      <c r="W226" s="81">
        <v>4.3929999999999865</v>
      </c>
      <c r="X226" s="81">
        <v>3.041999999999998</v>
      </c>
      <c r="Y226" s="81">
        <v>2.2430000000000003</v>
      </c>
      <c r="Z226" s="81">
        <v>1.2749999999999995</v>
      </c>
      <c r="AA226" s="81">
        <v>5.0599999999999987</v>
      </c>
      <c r="AB226" s="81">
        <v>22.091999999999999</v>
      </c>
      <c r="AC226" s="81">
        <v>14.385</v>
      </c>
      <c r="AD226" s="81">
        <v>6.2430000000000003</v>
      </c>
    </row>
    <row r="227" spans="1:30">
      <c r="A227" s="38" t="s">
        <v>46</v>
      </c>
      <c r="B227" s="179">
        <v>-0.11500000000000421</v>
      </c>
      <c r="C227" s="77">
        <v>1.7219999999999951</v>
      </c>
      <c r="D227" s="77">
        <v>2.5509999999999922</v>
      </c>
      <c r="E227" s="77">
        <v>2.1040000000000281</v>
      </c>
      <c r="F227" s="77">
        <v>1.2639999999999925</v>
      </c>
      <c r="G227" s="77">
        <v>-7.8000000000002734E-2</v>
      </c>
      <c r="H227" s="77">
        <v>-0.17800000000001193</v>
      </c>
      <c r="I227" s="77">
        <v>2.2169999999999996</v>
      </c>
      <c r="J227" s="77">
        <v>-0.68599999999999972</v>
      </c>
      <c r="K227" s="77">
        <v>-0.41000000000000014</v>
      </c>
      <c r="L227" s="77">
        <v>-11.315</v>
      </c>
      <c r="M227" s="77">
        <v>5.8330000000000002</v>
      </c>
      <c r="N227" s="77">
        <v>0.37800000000000011</v>
      </c>
      <c r="O227" s="77">
        <v>2.802</v>
      </c>
      <c r="P227" s="81"/>
      <c r="Q227" s="287">
        <v>1.6069999999999909</v>
      </c>
      <c r="R227" s="81">
        <v>1.7219999999999951</v>
      </c>
      <c r="S227" s="81">
        <v>5.84100000000001</v>
      </c>
      <c r="T227" s="81">
        <v>3.2900000000000178</v>
      </c>
      <c r="U227" s="81">
        <v>1.1859999999999897</v>
      </c>
      <c r="V227" s="81">
        <v>-7.8000000000002734E-2</v>
      </c>
      <c r="W227" s="81">
        <v>0.94299999999998807</v>
      </c>
      <c r="X227" s="81">
        <v>1.121</v>
      </c>
      <c r="Y227" s="81">
        <v>-1.0959999999999999</v>
      </c>
      <c r="Z227" s="81">
        <v>-0.41000000000000014</v>
      </c>
      <c r="AA227" s="81">
        <v>-2.3019999999999996</v>
      </c>
      <c r="AB227" s="81">
        <v>9.0129999999999999</v>
      </c>
      <c r="AC227" s="81">
        <v>3.18</v>
      </c>
      <c r="AD227" s="81">
        <v>2.802</v>
      </c>
    </row>
    <row r="228" spans="1:30">
      <c r="A228" s="19" t="s">
        <v>47</v>
      </c>
      <c r="B228" s="289">
        <v>-3.9049999999999834</v>
      </c>
      <c r="C228" s="236">
        <v>2.0250000000000021</v>
      </c>
      <c r="D228" s="236">
        <v>3.8597272727273157</v>
      </c>
      <c r="E228" s="236">
        <v>2.0729999999999169</v>
      </c>
      <c r="F228" s="236">
        <v>0.83299999999999752</v>
      </c>
      <c r="G228" s="236">
        <v>0.32800000000004115</v>
      </c>
      <c r="H228" s="236">
        <v>0.71700000000008401</v>
      </c>
      <c r="I228" s="236">
        <v>2.0799999999999983</v>
      </c>
      <c r="J228" s="236">
        <v>4.2000000000003368E-2</v>
      </c>
      <c r="K228" s="236">
        <v>8.1999999999998963E-2</v>
      </c>
      <c r="L228" s="236">
        <v>-24.878</v>
      </c>
      <c r="M228" s="236">
        <v>16.204000000000001</v>
      </c>
      <c r="N228" s="236">
        <v>8.6709999999999994</v>
      </c>
      <c r="O228" s="236">
        <v>13.393000000000001</v>
      </c>
      <c r="P228" s="83"/>
      <c r="Q228" s="288">
        <v>-1.8799999999999812</v>
      </c>
      <c r="R228" s="83">
        <v>2.0250000000000021</v>
      </c>
      <c r="S228" s="83">
        <v>7.0937272727272713</v>
      </c>
      <c r="T228" s="83">
        <v>3.2339999999999556</v>
      </c>
      <c r="U228" s="83">
        <v>1.1610000000000387</v>
      </c>
      <c r="V228" s="83">
        <v>0.32800000000004115</v>
      </c>
      <c r="W228" s="83">
        <v>2.9210000000000846</v>
      </c>
      <c r="X228" s="83">
        <v>2.2040000000000006</v>
      </c>
      <c r="Y228" s="83">
        <v>0.12400000000000233</v>
      </c>
      <c r="Z228" s="83">
        <v>8.1999999999998963E-2</v>
      </c>
      <c r="AA228" s="83">
        <v>13.39</v>
      </c>
      <c r="AB228" s="83">
        <v>38.268000000000001</v>
      </c>
      <c r="AC228" s="83">
        <v>22.064</v>
      </c>
      <c r="AD228" s="83">
        <v>13.393000000000001</v>
      </c>
    </row>
    <row r="229" spans="1:30">
      <c r="A229" s="19" t="s">
        <v>50</v>
      </c>
      <c r="B229" s="289">
        <v>-9.5399999999999814</v>
      </c>
      <c r="C229" s="236">
        <v>-5.6820000000000048</v>
      </c>
      <c r="D229" s="236">
        <v>-7.225750000000037</v>
      </c>
      <c r="E229" s="236">
        <v>-10.677249999999962</v>
      </c>
      <c r="F229" s="236">
        <v>-4.9850000000000083</v>
      </c>
      <c r="G229" s="236">
        <v>-3.2750000000000004</v>
      </c>
      <c r="H229" s="236">
        <v>-11.647000000000013</v>
      </c>
      <c r="I229" s="236">
        <v>-5.9469999999999992</v>
      </c>
      <c r="J229" s="236">
        <v>-6.0750000000000002</v>
      </c>
      <c r="K229" s="236">
        <v>-1.1459999999999999</v>
      </c>
      <c r="L229" s="236">
        <v>13.031000000000001</v>
      </c>
      <c r="M229" s="236">
        <v>-6.5609999999999999</v>
      </c>
      <c r="N229" s="236">
        <v>-3.4800000000000004</v>
      </c>
      <c r="O229" s="236">
        <v>-4.2859999999999996</v>
      </c>
      <c r="P229" s="83"/>
      <c r="Q229" s="288">
        <v>-15.221999999999987</v>
      </c>
      <c r="R229" s="83">
        <v>-5.6820000000000048</v>
      </c>
      <c r="S229" s="83">
        <v>-26.163000000000007</v>
      </c>
      <c r="T229" s="83">
        <v>-18.93724999999997</v>
      </c>
      <c r="U229" s="83">
        <v>-8.2600000000000087</v>
      </c>
      <c r="V229" s="83">
        <v>-3.2750000000000004</v>
      </c>
      <c r="W229" s="83">
        <v>-24.815000000000012</v>
      </c>
      <c r="X229" s="83">
        <v>-13.167999999999999</v>
      </c>
      <c r="Y229" s="83">
        <v>-7.2210000000000001</v>
      </c>
      <c r="Z229" s="83">
        <v>-1.1459999999999999</v>
      </c>
      <c r="AA229" s="83">
        <v>-1.2959999999999994</v>
      </c>
      <c r="AB229" s="83">
        <v>-14.327</v>
      </c>
      <c r="AC229" s="83">
        <v>-7.766</v>
      </c>
      <c r="AD229" s="83">
        <v>-4.2859999999999996</v>
      </c>
    </row>
    <row r="230" spans="1:30">
      <c r="A230" s="19" t="s">
        <v>110</v>
      </c>
      <c r="B230" s="289">
        <v>-13.444999999999943</v>
      </c>
      <c r="C230" s="236">
        <v>-3.656999999999992</v>
      </c>
      <c r="D230" s="236">
        <v>-3.3660227272727568</v>
      </c>
      <c r="E230" s="236">
        <v>-8.6042499999999951</v>
      </c>
      <c r="F230" s="236">
        <v>-4.1520000000000232</v>
      </c>
      <c r="G230" s="236">
        <v>-2.9469999999999752</v>
      </c>
      <c r="H230" s="236">
        <v>-10.929999999999893</v>
      </c>
      <c r="I230" s="236">
        <v>-3.8670000000000009</v>
      </c>
      <c r="J230" s="236">
        <v>-6.0329999999999968</v>
      </c>
      <c r="K230" s="236">
        <v>-1.0640000000000009</v>
      </c>
      <c r="L230" s="236">
        <v>-11.847000000000001</v>
      </c>
      <c r="M230" s="236">
        <v>9.6430000000000025</v>
      </c>
      <c r="N230" s="236">
        <v>5.1909999999999989</v>
      </c>
      <c r="O230" s="236">
        <v>9.1070000000000011</v>
      </c>
      <c r="P230" s="83"/>
      <c r="Q230" s="288">
        <v>-17.101999999999936</v>
      </c>
      <c r="R230" s="83">
        <v>-3.656999999999992</v>
      </c>
      <c r="S230" s="83">
        <v>-19.06927272727275</v>
      </c>
      <c r="T230" s="83">
        <v>-15.703249999999993</v>
      </c>
      <c r="U230" s="83">
        <v>-7.0989999999999984</v>
      </c>
      <c r="V230" s="83">
        <v>-2.9469999999999752</v>
      </c>
      <c r="W230" s="83">
        <v>-21.893999999999892</v>
      </c>
      <c r="X230" s="83">
        <v>-10.963999999999999</v>
      </c>
      <c r="Y230" s="83">
        <v>-7.0969999999999978</v>
      </c>
      <c r="Z230" s="83">
        <v>-1.0640000000000009</v>
      </c>
      <c r="AA230" s="83">
        <v>12.094000000000001</v>
      </c>
      <c r="AB230" s="83">
        <v>23.941000000000003</v>
      </c>
      <c r="AC230" s="83">
        <v>14.298</v>
      </c>
      <c r="AD230" s="83">
        <v>9.1070000000000011</v>
      </c>
    </row>
    <row r="231" spans="1:30" ht="27.75" customHeight="1">
      <c r="A231" s="79" t="s">
        <v>459</v>
      </c>
      <c r="B231" s="179">
        <v>-1.7999999999998573E-2</v>
      </c>
      <c r="C231" s="77">
        <v>-3.0000000000007798E-3</v>
      </c>
      <c r="D231" s="77">
        <v>-0.1160000000000001</v>
      </c>
      <c r="E231" s="77">
        <v>8.7000000000001854E-2</v>
      </c>
      <c r="F231" s="77">
        <v>1.8249999999999984</v>
      </c>
      <c r="G231" s="77">
        <v>-1.8419999999999994</v>
      </c>
      <c r="H231" s="77">
        <v>-5.1620000000000026</v>
      </c>
      <c r="I231" s="77">
        <v>-0.11899999999999999</v>
      </c>
      <c r="J231" s="77">
        <v>-4.0000000000000036E-3</v>
      </c>
      <c r="K231" s="77">
        <v>2.6999999999999996E-2</v>
      </c>
      <c r="L231" s="77">
        <v>5.1909999999999998</v>
      </c>
      <c r="M231" s="77">
        <v>6.6999999999999948E-2</v>
      </c>
      <c r="N231" s="77">
        <v>-0.30499999999999994</v>
      </c>
      <c r="O231" s="77">
        <v>-1.0760000000000001</v>
      </c>
      <c r="P231" s="81"/>
      <c r="Q231" s="287">
        <v>-2.0999999999999353E-2</v>
      </c>
      <c r="R231" s="81">
        <v>-3.0000000000007798E-3</v>
      </c>
      <c r="S231" s="81">
        <v>-4.5999999999999375E-2</v>
      </c>
      <c r="T231" s="81">
        <v>7.0000000000000728E-2</v>
      </c>
      <c r="U231" s="81">
        <v>-1.7000000000001125E-2</v>
      </c>
      <c r="V231" s="81">
        <v>-1.8419999999999994</v>
      </c>
      <c r="W231" s="81">
        <v>-5.2580000000000027</v>
      </c>
      <c r="X231" s="81">
        <v>-9.6000000000000002E-2</v>
      </c>
      <c r="Y231" s="81">
        <v>2.2999999999999993E-2</v>
      </c>
      <c r="Z231" s="81">
        <v>2.6999999999999996E-2</v>
      </c>
      <c r="AA231" s="81">
        <v>3.8769999999999998</v>
      </c>
      <c r="AB231" s="81">
        <v>-1.3140000000000001</v>
      </c>
      <c r="AC231" s="81">
        <v>-1.381</v>
      </c>
      <c r="AD231" s="81">
        <v>-1.0760000000000001</v>
      </c>
    </row>
    <row r="232" spans="1:30">
      <c r="A232" s="38" t="s">
        <v>111</v>
      </c>
      <c r="B232" s="179">
        <v>0.32</v>
      </c>
      <c r="C232" s="77">
        <v>-1.3000000000000636E-2</v>
      </c>
      <c r="D232" s="77">
        <v>-0.40700000000000092</v>
      </c>
      <c r="E232" s="77">
        <v>-0.12599999999999856</v>
      </c>
      <c r="F232" s="77">
        <v>-5.3319999999999999</v>
      </c>
      <c r="G232" s="77">
        <v>-6.5000000000000058E-2</v>
      </c>
      <c r="H232" s="77">
        <v>-1.6229999999999967</v>
      </c>
      <c r="I232" s="77">
        <v>0</v>
      </c>
      <c r="J232" s="77">
        <v>0</v>
      </c>
      <c r="K232" s="77">
        <v>0</v>
      </c>
      <c r="L232" s="77">
        <v>0.19000000000000034</v>
      </c>
      <c r="M232" s="77">
        <v>-0.17100000000000004</v>
      </c>
      <c r="N232" s="77">
        <v>-0.44999999999999996</v>
      </c>
      <c r="O232" s="77">
        <v>0.158</v>
      </c>
      <c r="P232" s="81"/>
      <c r="Q232" s="287">
        <v>0.30699999999999938</v>
      </c>
      <c r="R232" s="81">
        <v>-1.3000000000000636E-2</v>
      </c>
      <c r="S232" s="81">
        <v>-5.93</v>
      </c>
      <c r="T232" s="81">
        <v>-5.5229999999999988</v>
      </c>
      <c r="U232" s="81">
        <v>-5.3970000000000002</v>
      </c>
      <c r="V232" s="81">
        <v>-6.5000000000000058E-2</v>
      </c>
      <c r="W232" s="81">
        <v>-1.6229999999999967</v>
      </c>
      <c r="X232" s="81">
        <v>0</v>
      </c>
      <c r="Y232" s="81">
        <v>0</v>
      </c>
      <c r="Z232" s="81">
        <v>0</v>
      </c>
      <c r="AA232" s="81">
        <v>-0.27299999999999969</v>
      </c>
      <c r="AB232" s="81">
        <v>-0.46300000000000002</v>
      </c>
      <c r="AC232" s="81">
        <v>-0.29199999999999998</v>
      </c>
      <c r="AD232" s="81">
        <v>0.158</v>
      </c>
    </row>
    <row r="233" spans="1:30">
      <c r="A233" s="38" t="s">
        <v>112</v>
      </c>
      <c r="B233" s="179">
        <v>0.22100000000000009</v>
      </c>
      <c r="C233" s="77">
        <v>-1.5740000000000001</v>
      </c>
      <c r="D233" s="77">
        <v>-26.382000000000001</v>
      </c>
      <c r="E233" s="77">
        <v>1.7969999999999997</v>
      </c>
      <c r="F233" s="77">
        <v>7.2330000000000005</v>
      </c>
      <c r="G233" s="77">
        <v>-9.7949999999999999</v>
      </c>
      <c r="H233" s="77">
        <v>-7.8140000000000001</v>
      </c>
      <c r="I233" s="77">
        <v>-6.4089999999999989</v>
      </c>
      <c r="J233" s="77">
        <v>-7.7230000000000008</v>
      </c>
      <c r="K233" s="77">
        <v>-6.1379999999999999</v>
      </c>
      <c r="L233" s="77">
        <v>-8.2590000000000003</v>
      </c>
      <c r="M233" s="77">
        <v>-3.4790000000000001</v>
      </c>
      <c r="N233" s="77">
        <v>-0.37</v>
      </c>
      <c r="O233" s="77">
        <v>-0.14000000000000001</v>
      </c>
      <c r="P233" s="81"/>
      <c r="Q233" s="287">
        <v>-1.353</v>
      </c>
      <c r="R233" s="81">
        <v>-1.5740000000000001</v>
      </c>
      <c r="S233" s="81">
        <v>-27.147000000000002</v>
      </c>
      <c r="T233" s="81">
        <v>-0.76500000000000012</v>
      </c>
      <c r="U233" s="81">
        <v>-2.5619999999999998</v>
      </c>
      <c r="V233" s="81">
        <v>-9.7949999999999999</v>
      </c>
      <c r="W233" s="81">
        <v>-28.084</v>
      </c>
      <c r="X233" s="81">
        <v>-20.27</v>
      </c>
      <c r="Y233" s="81">
        <v>-13.861000000000001</v>
      </c>
      <c r="Z233" s="81">
        <v>-6.1379999999999999</v>
      </c>
      <c r="AA233" s="81">
        <v>-12.247999999999999</v>
      </c>
      <c r="AB233" s="81">
        <v>-3.9889999999999999</v>
      </c>
      <c r="AC233" s="81">
        <v>-0.51</v>
      </c>
      <c r="AD233" s="81">
        <v>-0.14000000000000001</v>
      </c>
    </row>
    <row r="234" spans="1:30">
      <c r="A234" s="38" t="s">
        <v>113</v>
      </c>
      <c r="B234" s="179">
        <v>0</v>
      </c>
      <c r="C234" s="77">
        <v>0</v>
      </c>
      <c r="D234" s="77">
        <v>0</v>
      </c>
      <c r="E234" s="77">
        <v>0</v>
      </c>
      <c r="F234" s="77">
        <v>0</v>
      </c>
      <c r="G234" s="77">
        <v>0</v>
      </c>
      <c r="H234" s="77">
        <v>0</v>
      </c>
      <c r="I234" s="77">
        <v>0</v>
      </c>
      <c r="J234" s="77">
        <v>0</v>
      </c>
      <c r="K234" s="77">
        <v>0</v>
      </c>
      <c r="L234" s="77">
        <v>0</v>
      </c>
      <c r="M234" s="77">
        <v>0</v>
      </c>
      <c r="N234" s="77">
        <v>0</v>
      </c>
      <c r="O234" s="77">
        <v>0</v>
      </c>
      <c r="P234" s="81"/>
      <c r="Q234" s="287">
        <v>0</v>
      </c>
      <c r="R234" s="81">
        <v>0</v>
      </c>
      <c r="S234" s="81">
        <v>0</v>
      </c>
      <c r="T234" s="81">
        <v>0</v>
      </c>
      <c r="U234" s="81">
        <v>0</v>
      </c>
      <c r="V234" s="81">
        <v>0</v>
      </c>
      <c r="W234" s="81">
        <v>0</v>
      </c>
      <c r="X234" s="81">
        <v>0</v>
      </c>
      <c r="Y234" s="81">
        <v>0</v>
      </c>
      <c r="Z234" s="81">
        <v>0</v>
      </c>
      <c r="AA234" s="81">
        <v>0</v>
      </c>
      <c r="AB234" s="81">
        <v>0</v>
      </c>
      <c r="AC234" s="81">
        <v>0</v>
      </c>
      <c r="AD234" s="81">
        <v>0</v>
      </c>
    </row>
    <row r="235" spans="1:30">
      <c r="A235" s="19" t="s">
        <v>114</v>
      </c>
      <c r="B235" s="289">
        <v>-12.92199999999993</v>
      </c>
      <c r="C235" s="236">
        <v>-5.246999999999999</v>
      </c>
      <c r="D235" s="236">
        <v>-30.271022727272786</v>
      </c>
      <c r="E235" s="236">
        <v>-6.8462499999999586</v>
      </c>
      <c r="F235" s="236">
        <v>-0.42600000000004457</v>
      </c>
      <c r="G235" s="236">
        <v>-14.648999999999941</v>
      </c>
      <c r="H235" s="236">
        <v>-25.528999999999968</v>
      </c>
      <c r="I235" s="236">
        <v>-10.394999999999996</v>
      </c>
      <c r="J235" s="236">
        <v>-13.760000000000002</v>
      </c>
      <c r="K235" s="236">
        <v>-7.1750000000000007</v>
      </c>
      <c r="L235" s="236">
        <v>-14.725000000000001</v>
      </c>
      <c r="M235" s="236">
        <v>6.0600000000000005</v>
      </c>
      <c r="N235" s="236">
        <v>4.0660000000000007</v>
      </c>
      <c r="O235" s="236">
        <v>8.0489999999999995</v>
      </c>
      <c r="P235" s="83"/>
      <c r="Q235" s="288">
        <v>-18.168999999999929</v>
      </c>
      <c r="R235" s="83">
        <v>-5.246999999999999</v>
      </c>
      <c r="S235" s="83">
        <v>-52.19227272727273</v>
      </c>
      <c r="T235" s="83">
        <v>-21.921249999999944</v>
      </c>
      <c r="U235" s="83">
        <v>-15.074999999999985</v>
      </c>
      <c r="V235" s="83">
        <v>-14.648999999999941</v>
      </c>
      <c r="W235" s="83">
        <v>-56.858999999999966</v>
      </c>
      <c r="X235" s="83">
        <v>-31.33</v>
      </c>
      <c r="Y235" s="83">
        <v>-20.935000000000002</v>
      </c>
      <c r="Z235" s="83">
        <v>-7.1750000000000007</v>
      </c>
      <c r="AA235" s="83">
        <v>3.4499999999999993</v>
      </c>
      <c r="AB235" s="83">
        <v>18.175000000000001</v>
      </c>
      <c r="AC235" s="83">
        <v>12.115</v>
      </c>
      <c r="AD235" s="83">
        <v>8.0489999999999995</v>
      </c>
    </row>
    <row r="236" spans="1:30">
      <c r="A236" s="38" t="s">
        <v>55</v>
      </c>
      <c r="B236" s="179">
        <v>2.8507499999999912</v>
      </c>
      <c r="C236" s="77">
        <v>-3.0207499999999974</v>
      </c>
      <c r="D236" s="77">
        <v>-1.3839500000000118</v>
      </c>
      <c r="E236" s="77">
        <v>-1.9355499999999988</v>
      </c>
      <c r="F236" s="77">
        <v>0.24729999999999552</v>
      </c>
      <c r="G236" s="77">
        <v>0.74319999999999942</v>
      </c>
      <c r="H236" s="77">
        <v>11.695750000000004</v>
      </c>
      <c r="I236" s="77">
        <v>-3.5229999999999997</v>
      </c>
      <c r="J236" s="77">
        <v>-2.0729999999999995</v>
      </c>
      <c r="K236" s="77">
        <v>-2.931</v>
      </c>
      <c r="L236" s="77">
        <v>0.45599999999999952</v>
      </c>
      <c r="M236" s="77">
        <v>-0.88499999999999979</v>
      </c>
      <c r="N236" s="77">
        <v>-0.99399999999999977</v>
      </c>
      <c r="O236" s="77">
        <v>-2.2290000000000001</v>
      </c>
      <c r="P236" s="81"/>
      <c r="Q236" s="287">
        <v>-0.17000000000000626</v>
      </c>
      <c r="R236" s="81">
        <v>-3.0207499999999974</v>
      </c>
      <c r="S236" s="81">
        <v>-2.3290000000000157</v>
      </c>
      <c r="T236" s="81">
        <v>-0.94505000000000394</v>
      </c>
      <c r="U236" s="81">
        <v>0.99049999999999494</v>
      </c>
      <c r="V236" s="81">
        <v>0.74319999999999942</v>
      </c>
      <c r="W236" s="81">
        <v>3.1687500000000051</v>
      </c>
      <c r="X236" s="81">
        <v>-8.5269999999999992</v>
      </c>
      <c r="Y236" s="81">
        <v>-5.0039999999999996</v>
      </c>
      <c r="Z236" s="81">
        <v>-2.931</v>
      </c>
      <c r="AA236" s="81">
        <v>-3.6520000000000001</v>
      </c>
      <c r="AB236" s="81">
        <v>-4.1079999999999997</v>
      </c>
      <c r="AC236" s="81">
        <v>-3.2229999999999999</v>
      </c>
      <c r="AD236" s="81">
        <v>-2.2290000000000001</v>
      </c>
    </row>
    <row r="237" spans="1:30">
      <c r="A237" s="38" t="s">
        <v>115</v>
      </c>
      <c r="B237" s="179">
        <v>-0.40700000000000003</v>
      </c>
      <c r="C237" s="77">
        <v>3.8499999999999979E-2</v>
      </c>
      <c r="D237" s="77">
        <v>-1.5979000000000001</v>
      </c>
      <c r="E237" s="77">
        <v>1.0240625000000001</v>
      </c>
      <c r="F237" s="77">
        <v>0.19150000000000011</v>
      </c>
      <c r="G237" s="77">
        <v>6.1000000000000054E-2</v>
      </c>
      <c r="H237" s="77">
        <v>0.53299999999999992</v>
      </c>
      <c r="I237" s="77">
        <v>8.4000000000000075E-2</v>
      </c>
      <c r="J237" s="77">
        <v>0.58299999999999996</v>
      </c>
      <c r="K237" s="77">
        <v>4.6999999999999931E-2</v>
      </c>
      <c r="L237" s="77">
        <v>1.9630000000000001</v>
      </c>
      <c r="M237" s="77">
        <v>-1.1970000000000001</v>
      </c>
      <c r="N237" s="77">
        <v>-0.83800000000000008</v>
      </c>
      <c r="O237" s="77">
        <v>0.17699999999999999</v>
      </c>
      <c r="P237" s="81"/>
      <c r="Q237" s="287">
        <v>-0.36850000000000005</v>
      </c>
      <c r="R237" s="81">
        <v>3.8499999999999979E-2</v>
      </c>
      <c r="S237" s="81">
        <v>-0.32133749999999983</v>
      </c>
      <c r="T237" s="81">
        <v>1.2765625000000003</v>
      </c>
      <c r="U237" s="81">
        <v>0.25250000000000017</v>
      </c>
      <c r="V237" s="81">
        <v>6.1000000000000054E-2</v>
      </c>
      <c r="W237" s="81">
        <v>1.2469999999999999</v>
      </c>
      <c r="X237" s="81">
        <v>0.71399999999999997</v>
      </c>
      <c r="Y237" s="81">
        <v>0.62999999999999989</v>
      </c>
      <c r="Z237" s="81">
        <v>4.6999999999999931E-2</v>
      </c>
      <c r="AA237" s="81">
        <v>0.10499999999999998</v>
      </c>
      <c r="AB237" s="81">
        <v>-1.8580000000000001</v>
      </c>
      <c r="AC237" s="81">
        <v>-0.66100000000000003</v>
      </c>
      <c r="AD237" s="81">
        <v>0.17699999999999999</v>
      </c>
    </row>
    <row r="238" spans="1:30">
      <c r="A238" s="19" t="s">
        <v>116</v>
      </c>
      <c r="B238" s="289">
        <v>-10.478249999999932</v>
      </c>
      <c r="C238" s="236">
        <v>-8.2292500000000146</v>
      </c>
      <c r="D238" s="236">
        <v>-33.252872727272901</v>
      </c>
      <c r="E238" s="236">
        <v>-7.7577374999998785</v>
      </c>
      <c r="F238" s="236">
        <v>1.2799999999950629E-2</v>
      </c>
      <c r="G238" s="236">
        <v>-13.84479999999996</v>
      </c>
      <c r="H238" s="236">
        <v>-13.300249999999977</v>
      </c>
      <c r="I238" s="236">
        <v>-13.834</v>
      </c>
      <c r="J238" s="236">
        <v>-15.25</v>
      </c>
      <c r="K238" s="236">
        <v>-10.059000000000001</v>
      </c>
      <c r="L238" s="236">
        <v>-12.306000000000001</v>
      </c>
      <c r="M238" s="236">
        <v>3.9779999999999998</v>
      </c>
      <c r="N238" s="236">
        <v>2.2340000000000009</v>
      </c>
      <c r="O238" s="236">
        <v>5.996999999999999</v>
      </c>
      <c r="P238" s="83"/>
      <c r="Q238" s="288">
        <v>-18.707499999999946</v>
      </c>
      <c r="R238" s="83">
        <v>-8.2292500000000146</v>
      </c>
      <c r="S238" s="83">
        <v>-54.842610227272786</v>
      </c>
      <c r="T238" s="83">
        <v>-21.589737499999888</v>
      </c>
      <c r="U238" s="83">
        <v>-13.83200000000001</v>
      </c>
      <c r="V238" s="83">
        <v>-13.84479999999996</v>
      </c>
      <c r="W238" s="83">
        <v>-52.443249999999978</v>
      </c>
      <c r="X238" s="83">
        <v>-39.143000000000001</v>
      </c>
      <c r="Y238" s="83">
        <v>-25.309000000000001</v>
      </c>
      <c r="Z238" s="83">
        <v>-10.059000000000001</v>
      </c>
      <c r="AA238" s="83">
        <v>-9.7000000000001307E-2</v>
      </c>
      <c r="AB238" s="83">
        <v>12.209</v>
      </c>
      <c r="AC238" s="83">
        <v>8.2309999999999999</v>
      </c>
      <c r="AD238" s="83">
        <v>5.996999999999999</v>
      </c>
    </row>
    <row r="240" spans="1:30">
      <c r="A240" s="19" t="s">
        <v>43</v>
      </c>
      <c r="B240" s="75" t="s">
        <v>629</v>
      </c>
      <c r="C240" s="75" t="s">
        <v>606</v>
      </c>
      <c r="D240" s="75" t="s">
        <v>593</v>
      </c>
      <c r="E240" s="75" t="s">
        <v>550</v>
      </c>
      <c r="F240" s="75" t="s">
        <v>524</v>
      </c>
      <c r="G240" s="75" t="s">
        <v>513</v>
      </c>
      <c r="H240" s="75" t="s">
        <v>502</v>
      </c>
      <c r="I240" s="75" t="s">
        <v>419</v>
      </c>
      <c r="J240" s="75" t="s">
        <v>401</v>
      </c>
      <c r="K240" s="75" t="s">
        <v>387</v>
      </c>
      <c r="L240" s="75" t="s">
        <v>476</v>
      </c>
      <c r="M240" s="75" t="s">
        <v>477</v>
      </c>
      <c r="N240" s="75" t="s">
        <v>478</v>
      </c>
      <c r="O240" s="75" t="s">
        <v>479</v>
      </c>
      <c r="P240" s="75"/>
      <c r="Q240" s="75" t="s">
        <v>630</v>
      </c>
      <c r="R240" s="75" t="s">
        <v>607</v>
      </c>
      <c r="S240" s="75" t="s">
        <v>594</v>
      </c>
      <c r="T240" s="75" t="s">
        <v>551</v>
      </c>
      <c r="U240" s="75" t="s">
        <v>525</v>
      </c>
      <c r="V240" s="75" t="s">
        <v>514</v>
      </c>
      <c r="W240" s="75" t="s">
        <v>503</v>
      </c>
      <c r="X240" s="75" t="s">
        <v>420</v>
      </c>
      <c r="Y240" s="75" t="s">
        <v>402</v>
      </c>
      <c r="Z240" s="75" t="s">
        <v>388</v>
      </c>
      <c r="AA240" s="75" t="s">
        <v>715</v>
      </c>
      <c r="AB240" s="75" t="s">
        <v>716</v>
      </c>
      <c r="AC240" s="75" t="s">
        <v>717</v>
      </c>
      <c r="AD240" s="75" t="s">
        <v>718</v>
      </c>
    </row>
    <row r="241" spans="1:30">
      <c r="A241" s="21" t="s">
        <v>680</v>
      </c>
      <c r="B241" s="307"/>
      <c r="C241" s="307"/>
      <c r="D241" s="307"/>
      <c r="E241" s="307"/>
      <c r="F241" s="307"/>
      <c r="G241" s="307"/>
      <c r="H241" s="21"/>
      <c r="I241" s="21"/>
      <c r="J241" s="21"/>
      <c r="K241" s="21"/>
      <c r="L241" s="21"/>
      <c r="M241" s="21"/>
      <c r="N241" s="21"/>
      <c r="O241" s="21"/>
      <c r="P241" s="85"/>
      <c r="Q241" s="85"/>
      <c r="R241" s="85"/>
      <c r="S241" s="85"/>
      <c r="T241" s="85"/>
      <c r="U241" s="85"/>
      <c r="V241" s="85"/>
      <c r="W241" s="85"/>
      <c r="X241" s="85"/>
      <c r="Y241" s="85"/>
      <c r="Z241" s="85"/>
      <c r="AA241" s="85"/>
      <c r="AB241" s="85"/>
      <c r="AC241" s="85"/>
      <c r="AD241" s="85"/>
    </row>
    <row r="242" spans="1:30">
      <c r="A242" s="38" t="s">
        <v>44</v>
      </c>
      <c r="B242" s="179">
        <v>0</v>
      </c>
      <c r="C242" s="77">
        <v>0</v>
      </c>
      <c r="D242" s="77">
        <v>0</v>
      </c>
      <c r="E242" s="77">
        <v>0</v>
      </c>
      <c r="F242" s="77">
        <v>0</v>
      </c>
      <c r="G242" s="77">
        <v>0</v>
      </c>
      <c r="H242" s="77">
        <v>0.32800000000003759</v>
      </c>
      <c r="I242" s="77">
        <v>-0.11500000000005839</v>
      </c>
      <c r="J242" s="77">
        <v>-0.10300000000000475</v>
      </c>
      <c r="K242" s="77">
        <v>-0.10999999999997445</v>
      </c>
      <c r="L242" s="77">
        <v>-2.6199999999999743</v>
      </c>
      <c r="M242" s="77">
        <v>-2.8210000000000006</v>
      </c>
      <c r="N242" s="77">
        <v>-2.5160000000000275</v>
      </c>
      <c r="O242" s="77">
        <v>-1.9639999999999915</v>
      </c>
      <c r="P242" s="81"/>
      <c r="Q242" s="287">
        <v>0</v>
      </c>
      <c r="R242" s="81">
        <v>0</v>
      </c>
      <c r="S242" s="81">
        <v>0</v>
      </c>
      <c r="T242" s="81">
        <v>0</v>
      </c>
      <c r="U242" s="81">
        <v>0</v>
      </c>
      <c r="V242" s="81">
        <v>0</v>
      </c>
      <c r="W242" s="81">
        <v>0</v>
      </c>
      <c r="X242" s="81">
        <v>-0.32800000000003759</v>
      </c>
      <c r="Y242" s="81">
        <v>-0.21299999999997921</v>
      </c>
      <c r="Z242" s="81">
        <v>-0.10999999999997445</v>
      </c>
      <c r="AA242" s="81">
        <v>-9.920999999999994</v>
      </c>
      <c r="AB242" s="81">
        <v>-7.3010000000000197</v>
      </c>
      <c r="AC242" s="81">
        <v>-4.4800000000000191</v>
      </c>
      <c r="AD242" s="81">
        <v>-1.9639999999999915</v>
      </c>
    </row>
    <row r="243" spans="1:30">
      <c r="A243" s="38" t="s">
        <v>109</v>
      </c>
      <c r="B243" s="179">
        <v>0</v>
      </c>
      <c r="C243" s="77">
        <v>0</v>
      </c>
      <c r="D243" s="77">
        <v>0</v>
      </c>
      <c r="E243" s="77">
        <v>0</v>
      </c>
      <c r="F243" s="77">
        <v>0</v>
      </c>
      <c r="G243" s="77">
        <v>0</v>
      </c>
      <c r="H243" s="77">
        <v>-0.13300000000002044</v>
      </c>
      <c r="I243" s="77">
        <v>6.4000000000023149E-2</v>
      </c>
      <c r="J243" s="77">
        <v>6.9999999999943441E-3</v>
      </c>
      <c r="K243" s="77">
        <v>6.2000000000002942E-2</v>
      </c>
      <c r="L243" s="77">
        <v>0.33699999999999974</v>
      </c>
      <c r="M243" s="77">
        <v>0.12900000000000134</v>
      </c>
      <c r="N243" s="77">
        <v>0.25999999999999446</v>
      </c>
      <c r="O243" s="77">
        <v>5.5000000000003268E-2</v>
      </c>
      <c r="P243" s="81"/>
      <c r="Q243" s="287">
        <v>0</v>
      </c>
      <c r="R243" s="81">
        <v>0</v>
      </c>
      <c r="S243" s="81">
        <v>0</v>
      </c>
      <c r="T243" s="81">
        <v>0</v>
      </c>
      <c r="U243" s="81">
        <v>0</v>
      </c>
      <c r="V243" s="81">
        <v>0</v>
      </c>
      <c r="W243" s="81">
        <v>0</v>
      </c>
      <c r="X243" s="81">
        <v>0.13300000000002044</v>
      </c>
      <c r="Y243" s="81">
        <v>6.8999999999997286E-2</v>
      </c>
      <c r="Z243" s="81">
        <v>6.2000000000002942E-2</v>
      </c>
      <c r="AA243" s="81">
        <v>0.78099999999999881</v>
      </c>
      <c r="AB243" s="81">
        <v>0.44399999999999906</v>
      </c>
      <c r="AC243" s="81">
        <v>0.31499999999999773</v>
      </c>
      <c r="AD243" s="81">
        <v>5.5000000000003268E-2</v>
      </c>
    </row>
    <row r="244" spans="1:30">
      <c r="A244" s="38" t="s">
        <v>46</v>
      </c>
      <c r="B244" s="179">
        <v>0</v>
      </c>
      <c r="C244" s="77">
        <v>0</v>
      </c>
      <c r="D244" s="77">
        <v>0</v>
      </c>
      <c r="E244" s="77">
        <v>0</v>
      </c>
      <c r="F244" s="77">
        <v>0</v>
      </c>
      <c r="G244" s="77">
        <v>0</v>
      </c>
      <c r="H244" s="77">
        <v>-1.017000000000011</v>
      </c>
      <c r="I244" s="77">
        <v>3.0000000000074412E-3</v>
      </c>
      <c r="J244" s="77">
        <v>0.70600000000000596</v>
      </c>
      <c r="K244" s="77">
        <v>0.30799999999999761</v>
      </c>
      <c r="L244" s="77">
        <v>0.3590000000000062</v>
      </c>
      <c r="M244" s="77">
        <v>0.17999999999998506</v>
      </c>
      <c r="N244" s="77">
        <v>0.63299999999999157</v>
      </c>
      <c r="O244" s="77">
        <v>0.44600000000000062</v>
      </c>
      <c r="P244" s="81"/>
      <c r="Q244" s="287">
        <v>0</v>
      </c>
      <c r="R244" s="81">
        <v>0</v>
      </c>
      <c r="S244" s="81">
        <v>0</v>
      </c>
      <c r="T244" s="81">
        <v>0</v>
      </c>
      <c r="U244" s="81">
        <v>0</v>
      </c>
      <c r="V244" s="81">
        <v>0</v>
      </c>
      <c r="W244" s="81">
        <v>0</v>
      </c>
      <c r="X244" s="81">
        <v>1.017000000000011</v>
      </c>
      <c r="Y244" s="81">
        <v>1.0140000000000036</v>
      </c>
      <c r="Z244" s="81">
        <v>0.30799999999999761</v>
      </c>
      <c r="AA244" s="81">
        <v>1.6179999999999835</v>
      </c>
      <c r="AB244" s="81">
        <v>1.2589999999999772</v>
      </c>
      <c r="AC244" s="81">
        <v>1.0789999999999922</v>
      </c>
      <c r="AD244" s="81">
        <v>0.44600000000000062</v>
      </c>
    </row>
    <row r="245" spans="1:30">
      <c r="A245" s="19" t="s">
        <v>47</v>
      </c>
      <c r="B245" s="289">
        <v>0</v>
      </c>
      <c r="C245" s="236">
        <v>0</v>
      </c>
      <c r="D245" s="236">
        <v>0</v>
      </c>
      <c r="E245" s="236">
        <v>0</v>
      </c>
      <c r="F245" s="236">
        <v>0</v>
      </c>
      <c r="G245" s="236">
        <v>0</v>
      </c>
      <c r="H245" s="236">
        <v>-0.82199999999999918</v>
      </c>
      <c r="I245" s="236">
        <v>-4.8000000000026688E-2</v>
      </c>
      <c r="J245" s="236">
        <v>0.61000000000000121</v>
      </c>
      <c r="K245" s="236">
        <v>0.26000000000002466</v>
      </c>
      <c r="L245" s="236">
        <v>-1.9239999999998147</v>
      </c>
      <c r="M245" s="236">
        <v>-2.5120000000000076</v>
      </c>
      <c r="N245" s="236">
        <v>-1.6230000000000171</v>
      </c>
      <c r="O245" s="236">
        <v>-1.4630000000000027</v>
      </c>
      <c r="P245" s="83"/>
      <c r="Q245" s="288">
        <v>0</v>
      </c>
      <c r="R245" s="83">
        <v>0</v>
      </c>
      <c r="S245" s="83">
        <v>0</v>
      </c>
      <c r="T245" s="83">
        <v>0</v>
      </c>
      <c r="U245" s="83">
        <v>0</v>
      </c>
      <c r="V245" s="83">
        <v>0</v>
      </c>
      <c r="W245" s="81">
        <v>0</v>
      </c>
      <c r="X245" s="83">
        <v>0.82199999999999918</v>
      </c>
      <c r="Y245" s="83">
        <v>0.87000000000002586</v>
      </c>
      <c r="Z245" s="83">
        <v>0.26000000000002466</v>
      </c>
      <c r="AA245" s="83">
        <v>-7.5219999999998421</v>
      </c>
      <c r="AB245" s="83">
        <v>-5.5980000000000274</v>
      </c>
      <c r="AC245" s="83">
        <v>-3.0860000000000198</v>
      </c>
      <c r="AD245" s="83">
        <v>-1.4630000000000027</v>
      </c>
    </row>
    <row r="246" spans="1:30">
      <c r="A246" s="19" t="s">
        <v>50</v>
      </c>
      <c r="B246" s="289">
        <v>0</v>
      </c>
      <c r="C246" s="236">
        <v>0</v>
      </c>
      <c r="D246" s="236">
        <v>0</v>
      </c>
      <c r="E246" s="236">
        <v>0</v>
      </c>
      <c r="F246" s="236">
        <v>0</v>
      </c>
      <c r="G246" s="236">
        <v>0</v>
      </c>
      <c r="H246" s="236">
        <v>2.9609999999999701</v>
      </c>
      <c r="I246" s="236">
        <v>-0.81599999999995454</v>
      </c>
      <c r="J246" s="236">
        <v>-0.96900000000001629</v>
      </c>
      <c r="K246" s="236">
        <v>-1.1759999999999993</v>
      </c>
      <c r="L246" s="236">
        <v>-1.1269999999999687</v>
      </c>
      <c r="M246" s="236">
        <v>-0.8989999999999867</v>
      </c>
      <c r="N246" s="236">
        <v>-0.85000000000001741</v>
      </c>
      <c r="O246" s="236">
        <v>-1.3020000000000032</v>
      </c>
      <c r="P246" s="83"/>
      <c r="Q246" s="288">
        <v>0</v>
      </c>
      <c r="R246" s="83">
        <v>0</v>
      </c>
      <c r="S246" s="83">
        <v>0</v>
      </c>
      <c r="T246" s="83">
        <v>0</v>
      </c>
      <c r="U246" s="83">
        <v>0</v>
      </c>
      <c r="V246" s="83">
        <v>0</v>
      </c>
      <c r="W246" s="81">
        <v>0</v>
      </c>
      <c r="X246" s="83">
        <v>-2.9609999999999701</v>
      </c>
      <c r="Y246" s="83">
        <v>-2.1450000000000156</v>
      </c>
      <c r="Z246" s="83">
        <v>-1.1759999999999993</v>
      </c>
      <c r="AA246" s="83">
        <v>-4.177999999999976</v>
      </c>
      <c r="AB246" s="83">
        <v>-3.0510000000000073</v>
      </c>
      <c r="AC246" s="83">
        <v>-2.1520000000000206</v>
      </c>
      <c r="AD246" s="83">
        <v>-1.3020000000000032</v>
      </c>
    </row>
    <row r="247" spans="1:30">
      <c r="A247" s="19" t="s">
        <v>110</v>
      </c>
      <c r="B247" s="289">
        <v>0</v>
      </c>
      <c r="C247" s="236">
        <v>0</v>
      </c>
      <c r="D247" s="236">
        <v>0</v>
      </c>
      <c r="E247" s="236">
        <v>0</v>
      </c>
      <c r="F247" s="236">
        <v>0</v>
      </c>
      <c r="G247" s="236">
        <v>0</v>
      </c>
      <c r="H247" s="236">
        <v>2.1390000000000668</v>
      </c>
      <c r="I247" s="236">
        <v>-0.86400000000004873</v>
      </c>
      <c r="J247" s="236">
        <v>-0.3590000000000404</v>
      </c>
      <c r="K247" s="236">
        <v>-0.91599999999997772</v>
      </c>
      <c r="L247" s="236">
        <v>-3.0509999999999096</v>
      </c>
      <c r="M247" s="236">
        <v>-3.4109999999999783</v>
      </c>
      <c r="N247" s="236">
        <v>-2.4730000000000523</v>
      </c>
      <c r="O247" s="236">
        <v>-2.7649999999999917</v>
      </c>
      <c r="P247" s="83"/>
      <c r="Q247" s="288">
        <v>0</v>
      </c>
      <c r="R247" s="83">
        <v>0</v>
      </c>
      <c r="S247" s="83">
        <v>0</v>
      </c>
      <c r="T247" s="83">
        <v>0</v>
      </c>
      <c r="U247" s="83">
        <v>0</v>
      </c>
      <c r="V247" s="83">
        <v>0</v>
      </c>
      <c r="W247" s="81">
        <v>0</v>
      </c>
      <c r="X247" s="83">
        <v>-2.1390000000000668</v>
      </c>
      <c r="Y247" s="83">
        <v>-1.2750000000000181</v>
      </c>
      <c r="Z247" s="83">
        <v>-0.91599999999997772</v>
      </c>
      <c r="AA247" s="83">
        <v>-11.699999999999932</v>
      </c>
      <c r="AB247" s="83">
        <v>-8.6490000000000222</v>
      </c>
      <c r="AC247" s="83">
        <v>-5.238000000000044</v>
      </c>
      <c r="AD247" s="83">
        <v>-2.7649999999999917</v>
      </c>
    </row>
    <row r="248" spans="1:30" ht="27.75" customHeight="1">
      <c r="A248" s="79" t="s">
        <v>459</v>
      </c>
      <c r="B248" s="179">
        <v>0</v>
      </c>
      <c r="C248" s="77">
        <v>0</v>
      </c>
      <c r="D248" s="77">
        <v>0</v>
      </c>
      <c r="E248" s="77">
        <v>0</v>
      </c>
      <c r="F248" s="77">
        <v>0</v>
      </c>
      <c r="G248" s="77">
        <v>0</v>
      </c>
      <c r="H248" s="77">
        <v>9.499999999999717E-2</v>
      </c>
      <c r="I248" s="77">
        <v>7.0000000000016716E-3</v>
      </c>
      <c r="J248" s="77">
        <v>8.0000000000013394E-3</v>
      </c>
      <c r="K248" s="77">
        <v>-0.11000000000000018</v>
      </c>
      <c r="L248" s="77">
        <v>-2.1030000000000166</v>
      </c>
      <c r="M248" s="77">
        <v>0.5720000000000065</v>
      </c>
      <c r="N248" s="77">
        <v>-0.8279999999999974</v>
      </c>
      <c r="O248" s="77">
        <v>0.27100000000000213</v>
      </c>
      <c r="P248" s="81"/>
      <c r="Q248" s="287">
        <v>0</v>
      </c>
      <c r="R248" s="81">
        <v>0</v>
      </c>
      <c r="S248" s="81">
        <v>0</v>
      </c>
      <c r="T248" s="81">
        <v>0</v>
      </c>
      <c r="U248" s="81">
        <v>0</v>
      </c>
      <c r="V248" s="81">
        <v>0</v>
      </c>
      <c r="W248" s="81">
        <v>0</v>
      </c>
      <c r="X248" s="81">
        <v>-9.499999999999717E-2</v>
      </c>
      <c r="Y248" s="81">
        <v>-0.10199999999999884</v>
      </c>
      <c r="Z248" s="81">
        <v>-0.11000000000000018</v>
      </c>
      <c r="AA248" s="81">
        <v>-2.0880000000000054</v>
      </c>
      <c r="AB248" s="81">
        <v>1.5000000000011227E-2</v>
      </c>
      <c r="AC248" s="81">
        <v>-0.55699999999999528</v>
      </c>
      <c r="AD248" s="81">
        <v>0.27100000000000213</v>
      </c>
    </row>
    <row r="249" spans="1:30">
      <c r="A249" s="38" t="s">
        <v>111</v>
      </c>
      <c r="B249" s="179">
        <v>0</v>
      </c>
      <c r="C249" s="77">
        <v>0</v>
      </c>
      <c r="D249" s="77">
        <v>0</v>
      </c>
      <c r="E249" s="77">
        <v>0</v>
      </c>
      <c r="F249" s="77">
        <v>0</v>
      </c>
      <c r="G249" s="77">
        <v>0</v>
      </c>
      <c r="H249" s="77">
        <v>0.43699999999999828</v>
      </c>
      <c r="I249" s="77">
        <v>-0.16799999999999804</v>
      </c>
      <c r="J249" s="77">
        <v>0.16399999999999959</v>
      </c>
      <c r="K249" s="77">
        <v>-0.43299999999999983</v>
      </c>
      <c r="L249" s="77">
        <v>-0.12900000000000045</v>
      </c>
      <c r="M249" s="77">
        <v>-0.74499999999999655</v>
      </c>
      <c r="N249" s="77">
        <v>-4.2490000000000006</v>
      </c>
      <c r="O249" s="77">
        <v>-1.1170000000000004</v>
      </c>
      <c r="P249" s="81"/>
      <c r="Q249" s="287">
        <v>0</v>
      </c>
      <c r="R249" s="81">
        <v>0</v>
      </c>
      <c r="S249" s="81">
        <v>0</v>
      </c>
      <c r="T249" s="81">
        <v>0</v>
      </c>
      <c r="U249" s="81">
        <v>0</v>
      </c>
      <c r="V249" s="81">
        <v>0</v>
      </c>
      <c r="W249" s="81">
        <v>0</v>
      </c>
      <c r="X249" s="81">
        <v>-0.43699999999999828</v>
      </c>
      <c r="Y249" s="81">
        <v>-0.26900000000000024</v>
      </c>
      <c r="Z249" s="81">
        <v>-0.43299999999999983</v>
      </c>
      <c r="AA249" s="81">
        <v>-6.2399999999999975</v>
      </c>
      <c r="AB249" s="81">
        <v>-6.1109999999999971</v>
      </c>
      <c r="AC249" s="81">
        <v>-5.3660000000000005</v>
      </c>
      <c r="AD249" s="81">
        <v>-1.1170000000000004</v>
      </c>
    </row>
    <row r="250" spans="1:30">
      <c r="A250" s="38" t="s">
        <v>112</v>
      </c>
      <c r="B250" s="179">
        <v>0</v>
      </c>
      <c r="C250" s="77">
        <v>0</v>
      </c>
      <c r="D250" s="77">
        <v>0</v>
      </c>
      <c r="E250" s="77">
        <v>0</v>
      </c>
      <c r="F250" s="77">
        <v>0</v>
      </c>
      <c r="G250" s="77">
        <v>0</v>
      </c>
      <c r="H250" s="77">
        <v>0.32499999999999929</v>
      </c>
      <c r="I250" s="77">
        <v>-3.8000000000000256E-2</v>
      </c>
      <c r="J250" s="77">
        <v>-0.10999999999999854</v>
      </c>
      <c r="K250" s="77">
        <v>-0.17700000000000049</v>
      </c>
      <c r="L250" s="77">
        <v>-0.21799999999999997</v>
      </c>
      <c r="M250" s="77">
        <v>0.66999999999999971</v>
      </c>
      <c r="N250" s="77">
        <v>0</v>
      </c>
      <c r="O250" s="77">
        <v>-8.299999999999999E-2</v>
      </c>
      <c r="P250" s="81"/>
      <c r="Q250" s="287">
        <v>0</v>
      </c>
      <c r="R250" s="81">
        <v>0</v>
      </c>
      <c r="S250" s="81">
        <v>0</v>
      </c>
      <c r="T250" s="81">
        <v>0</v>
      </c>
      <c r="U250" s="81">
        <v>0</v>
      </c>
      <c r="V250" s="81">
        <v>0</v>
      </c>
      <c r="W250" s="81">
        <v>0</v>
      </c>
      <c r="X250" s="81">
        <v>-0.32499999999999929</v>
      </c>
      <c r="Y250" s="81">
        <v>-0.28699999999999903</v>
      </c>
      <c r="Z250" s="81">
        <v>-0.17700000000000049</v>
      </c>
      <c r="AA250" s="81">
        <v>0.36899999999999977</v>
      </c>
      <c r="AB250" s="81">
        <v>0.58699999999999974</v>
      </c>
      <c r="AC250" s="81">
        <v>-8.2999999999999963E-2</v>
      </c>
      <c r="AD250" s="81">
        <v>-8.299999999999999E-2</v>
      </c>
    </row>
    <row r="251" spans="1:30">
      <c r="A251" s="38" t="s">
        <v>113</v>
      </c>
      <c r="B251" s="179">
        <v>0</v>
      </c>
      <c r="C251" s="77">
        <v>0</v>
      </c>
      <c r="D251" s="77">
        <v>0</v>
      </c>
      <c r="E251" s="77">
        <v>0</v>
      </c>
      <c r="F251" s="77">
        <v>0</v>
      </c>
      <c r="G251" s="77">
        <v>0</v>
      </c>
      <c r="H251" s="77">
        <v>0</v>
      </c>
      <c r="I251" s="77">
        <v>0</v>
      </c>
      <c r="J251" s="77">
        <v>0</v>
      </c>
      <c r="K251" s="77">
        <v>0</v>
      </c>
      <c r="L251" s="77">
        <v>0</v>
      </c>
      <c r="M251" s="77">
        <v>0</v>
      </c>
      <c r="N251" s="77">
        <v>0</v>
      </c>
      <c r="O251" s="77">
        <v>0</v>
      </c>
      <c r="P251" s="81"/>
      <c r="Q251" s="287">
        <v>0</v>
      </c>
      <c r="R251" s="81">
        <v>0</v>
      </c>
      <c r="S251" s="81">
        <v>0</v>
      </c>
      <c r="T251" s="81">
        <v>0</v>
      </c>
      <c r="U251" s="81">
        <v>0</v>
      </c>
      <c r="V251" s="81">
        <v>0</v>
      </c>
      <c r="W251" s="81">
        <v>0</v>
      </c>
      <c r="X251" s="81">
        <v>0</v>
      </c>
      <c r="Y251" s="81">
        <v>0</v>
      </c>
      <c r="Z251" s="81">
        <v>0</v>
      </c>
      <c r="AA251" s="81">
        <v>0</v>
      </c>
      <c r="AB251" s="81">
        <v>0</v>
      </c>
      <c r="AC251" s="81">
        <v>0</v>
      </c>
      <c r="AD251" s="81">
        <v>0</v>
      </c>
    </row>
    <row r="252" spans="1:30">
      <c r="A252" s="19" t="s">
        <v>114</v>
      </c>
      <c r="B252" s="289">
        <v>0</v>
      </c>
      <c r="C252" s="236">
        <v>0</v>
      </c>
      <c r="D252" s="236">
        <v>0</v>
      </c>
      <c r="E252" s="236">
        <v>0</v>
      </c>
      <c r="F252" s="236">
        <v>0</v>
      </c>
      <c r="G252" s="236">
        <v>0</v>
      </c>
      <c r="H252" s="236">
        <v>2.9960000000000875</v>
      </c>
      <c r="I252" s="236">
        <v>-1.0630000000000646</v>
      </c>
      <c r="J252" s="236">
        <v>-0.29700000000006277</v>
      </c>
      <c r="K252" s="236">
        <v>-1.6359999999999602</v>
      </c>
      <c r="L252" s="236">
        <v>-5.5009999999998449</v>
      </c>
      <c r="M252" s="236">
        <v>-2.9139999999999961</v>
      </c>
      <c r="N252" s="236">
        <v>-7.5500000000000558</v>
      </c>
      <c r="O252" s="236">
        <v>-3.6939999999999884</v>
      </c>
      <c r="P252" s="83"/>
      <c r="Q252" s="288">
        <v>0</v>
      </c>
      <c r="R252" s="83">
        <v>0</v>
      </c>
      <c r="S252" s="83">
        <v>0</v>
      </c>
      <c r="T252" s="83">
        <v>0</v>
      </c>
      <c r="U252" s="83">
        <v>0</v>
      </c>
      <c r="V252" s="83">
        <v>0</v>
      </c>
      <c r="W252" s="81">
        <v>0</v>
      </c>
      <c r="X252" s="83">
        <v>-2.9960000000000875</v>
      </c>
      <c r="Y252" s="83">
        <v>-1.9330000000000229</v>
      </c>
      <c r="Z252" s="83">
        <v>-1.6359999999999602</v>
      </c>
      <c r="AA252" s="83">
        <v>-19.658999999999885</v>
      </c>
      <c r="AB252" s="83">
        <v>-14.15800000000004</v>
      </c>
      <c r="AC252" s="83">
        <v>-11.244000000000044</v>
      </c>
      <c r="AD252" s="83">
        <v>-3.6939999999999884</v>
      </c>
    </row>
    <row r="253" spans="1:30">
      <c r="A253" s="38" t="s">
        <v>55</v>
      </c>
      <c r="B253" s="179">
        <v>0</v>
      </c>
      <c r="C253" s="77">
        <v>0</v>
      </c>
      <c r="D253" s="77">
        <v>0</v>
      </c>
      <c r="E253" s="77">
        <v>0</v>
      </c>
      <c r="F253" s="77">
        <v>0</v>
      </c>
      <c r="G253" s="77">
        <v>0</v>
      </c>
      <c r="H253" s="77">
        <v>-0.14712500000000439</v>
      </c>
      <c r="I253" s="77">
        <v>2.3625000000008001E-2</v>
      </c>
      <c r="J253" s="77">
        <v>6.4249999999998586E-2</v>
      </c>
      <c r="K253" s="77">
        <v>5.9249999999997804E-2</v>
      </c>
      <c r="L253" s="77">
        <v>3.3749999999998614E-2</v>
      </c>
      <c r="M253" s="77">
        <v>-2.4875000000001091E-2</v>
      </c>
      <c r="N253" s="77">
        <v>1.2499999999970868E-4</v>
      </c>
      <c r="O253" s="77">
        <v>-3.7999999999999812E-2</v>
      </c>
      <c r="P253" s="81"/>
      <c r="Q253" s="287">
        <v>0</v>
      </c>
      <c r="R253" s="81">
        <v>0</v>
      </c>
      <c r="S253" s="81">
        <v>0</v>
      </c>
      <c r="T253" s="81">
        <v>0</v>
      </c>
      <c r="U253" s="81">
        <v>0</v>
      </c>
      <c r="V253" s="81">
        <v>0</v>
      </c>
      <c r="W253" s="81">
        <v>0</v>
      </c>
      <c r="X253" s="81">
        <v>0.14712500000000439</v>
      </c>
      <c r="Y253" s="81">
        <v>0.12349999999999639</v>
      </c>
      <c r="Z253" s="81">
        <v>5.9249999999997804E-2</v>
      </c>
      <c r="AA253" s="81">
        <v>-2.9000000000002579E-2</v>
      </c>
      <c r="AB253" s="81">
        <v>-6.2750000000001194E-2</v>
      </c>
      <c r="AC253" s="81">
        <v>-3.7875000000000103E-2</v>
      </c>
      <c r="AD253" s="81">
        <v>-3.7999999999999812E-2</v>
      </c>
    </row>
    <row r="254" spans="1:30">
      <c r="A254" s="38" t="s">
        <v>115</v>
      </c>
      <c r="B254" s="179">
        <v>0</v>
      </c>
      <c r="C254" s="77">
        <v>0</v>
      </c>
      <c r="D254" s="77">
        <v>0</v>
      </c>
      <c r="E254" s="77">
        <v>0</v>
      </c>
      <c r="F254" s="77">
        <v>0</v>
      </c>
      <c r="G254" s="77">
        <v>0</v>
      </c>
      <c r="H254" s="77">
        <v>0</v>
      </c>
      <c r="I254" s="77">
        <v>0</v>
      </c>
      <c r="J254" s="77">
        <v>0</v>
      </c>
      <c r="K254" s="77">
        <v>0</v>
      </c>
      <c r="L254" s="77">
        <v>0</v>
      </c>
      <c r="M254" s="77">
        <v>0</v>
      </c>
      <c r="N254" s="77">
        <v>0</v>
      </c>
      <c r="O254" s="77">
        <v>0</v>
      </c>
      <c r="P254" s="81"/>
      <c r="Q254" s="287">
        <v>0</v>
      </c>
      <c r="R254" s="81">
        <v>0</v>
      </c>
      <c r="S254" s="81">
        <v>0</v>
      </c>
      <c r="T254" s="81">
        <v>0</v>
      </c>
      <c r="U254" s="81">
        <v>0</v>
      </c>
      <c r="V254" s="81">
        <v>0</v>
      </c>
      <c r="W254" s="81">
        <v>0</v>
      </c>
      <c r="X254" s="81">
        <v>0</v>
      </c>
      <c r="Y254" s="81">
        <v>0</v>
      </c>
      <c r="Z254" s="81">
        <v>0</v>
      </c>
      <c r="AA254" s="81">
        <v>0</v>
      </c>
      <c r="AB254" s="81">
        <v>0</v>
      </c>
      <c r="AC254" s="81">
        <v>0</v>
      </c>
      <c r="AD254" s="81">
        <v>0</v>
      </c>
    </row>
    <row r="255" spans="1:30">
      <c r="A255" s="19" t="s">
        <v>116</v>
      </c>
      <c r="B255" s="289">
        <v>0</v>
      </c>
      <c r="C255" s="236">
        <v>0</v>
      </c>
      <c r="D255" s="236">
        <v>0</v>
      </c>
      <c r="E255" s="236">
        <v>0</v>
      </c>
      <c r="F255" s="236">
        <v>0</v>
      </c>
      <c r="G255" s="236">
        <v>0</v>
      </c>
      <c r="H255" s="236">
        <v>2.8488750000001133</v>
      </c>
      <c r="I255" s="236">
        <v>-1.039375000000085</v>
      </c>
      <c r="J255" s="236">
        <v>-0.23275000000004908</v>
      </c>
      <c r="K255" s="236">
        <v>-1.5767499999999792</v>
      </c>
      <c r="L255" s="236">
        <v>-5.467249999999872</v>
      </c>
      <c r="M255" s="236">
        <v>-2.9388749999999995</v>
      </c>
      <c r="N255" s="236">
        <v>-7.549875000000049</v>
      </c>
      <c r="O255" s="236">
        <v>-3.7319999999999895</v>
      </c>
      <c r="P255" s="83"/>
      <c r="Q255" s="288">
        <v>0</v>
      </c>
      <c r="R255" s="83">
        <v>0</v>
      </c>
      <c r="S255" s="83">
        <v>0</v>
      </c>
      <c r="T255" s="83">
        <v>0</v>
      </c>
      <c r="U255" s="83">
        <v>0</v>
      </c>
      <c r="V255" s="83">
        <v>0</v>
      </c>
      <c r="W255" s="81">
        <v>0</v>
      </c>
      <c r="X255" s="83">
        <v>-2.8488750000001133</v>
      </c>
      <c r="Y255" s="83">
        <v>-1.8095000000000283</v>
      </c>
      <c r="Z255" s="83">
        <v>-1.5767499999999792</v>
      </c>
      <c r="AA255" s="83">
        <v>-19.68799999999991</v>
      </c>
      <c r="AB255" s="83">
        <v>-14.220750000000038</v>
      </c>
      <c r="AC255" s="83">
        <v>-11.281875000000039</v>
      </c>
      <c r="AD255" s="83">
        <v>-3.7319999999999895</v>
      </c>
    </row>
    <row r="256" spans="1:30">
      <c r="A256" s="24"/>
      <c r="B256" s="24"/>
      <c r="C256" s="24"/>
      <c r="D256" s="24"/>
      <c r="E256" s="24"/>
      <c r="F256" s="24"/>
      <c r="G256" s="24"/>
      <c r="H256" s="24"/>
      <c r="I256" s="24"/>
      <c r="J256" s="24"/>
      <c r="K256" s="24"/>
      <c r="L256" s="24"/>
      <c r="M256" s="24"/>
      <c r="N256" s="24"/>
      <c r="O256" s="24"/>
      <c r="P256" s="86"/>
      <c r="Q256" s="86"/>
      <c r="R256" s="86"/>
      <c r="S256" s="86"/>
      <c r="T256" s="86"/>
      <c r="U256" s="86"/>
      <c r="V256" s="86"/>
      <c r="W256" s="86"/>
      <c r="X256" s="86"/>
      <c r="Y256" s="86"/>
      <c r="Z256" s="86"/>
      <c r="AA256" s="86"/>
      <c r="AB256" s="86"/>
      <c r="AC256" s="86"/>
      <c r="AD256" s="86"/>
    </row>
    <row r="257" spans="1:30" ht="24.95" customHeight="1">
      <c r="A257" s="326" t="s">
        <v>491</v>
      </c>
      <c r="B257" s="326"/>
      <c r="C257" s="326"/>
      <c r="D257" s="326"/>
      <c r="E257" s="326"/>
      <c r="F257" s="326"/>
      <c r="G257" s="326"/>
      <c r="H257" s="326"/>
      <c r="I257" s="326"/>
      <c r="J257" s="326"/>
      <c r="K257" s="326"/>
      <c r="L257" s="326"/>
      <c r="M257" s="326"/>
      <c r="N257" s="326"/>
      <c r="O257" s="326"/>
      <c r="P257" s="328"/>
      <c r="Q257" s="328"/>
      <c r="R257" s="328"/>
      <c r="S257" s="328"/>
      <c r="T257" s="328"/>
      <c r="U257" s="328"/>
      <c r="V257" s="328"/>
      <c r="W257" s="328"/>
      <c r="X257" s="328"/>
      <c r="Y257" s="328"/>
      <c r="Z257" s="328"/>
      <c r="AA257" s="328"/>
      <c r="AB257" s="328"/>
      <c r="AC257" s="328"/>
      <c r="AD257" s="328"/>
    </row>
    <row r="258" spans="1:30" ht="24.95" customHeight="1">
      <c r="A258" s="326" t="s">
        <v>682</v>
      </c>
      <c r="B258" s="326"/>
      <c r="C258" s="326"/>
      <c r="D258" s="326"/>
      <c r="E258" s="326"/>
      <c r="F258" s="326"/>
      <c r="G258" s="326"/>
      <c r="H258" s="326"/>
      <c r="I258" s="326"/>
      <c r="J258" s="326"/>
      <c r="K258" s="326"/>
      <c r="L258" s="326"/>
      <c r="M258" s="326"/>
      <c r="N258" s="326"/>
      <c r="O258" s="326"/>
      <c r="P258" s="328"/>
      <c r="Q258" s="328"/>
      <c r="R258" s="328"/>
      <c r="S258" s="328"/>
      <c r="T258" s="328"/>
      <c r="U258" s="328"/>
      <c r="V258" s="328"/>
      <c r="W258" s="328"/>
      <c r="X258" s="328"/>
      <c r="Y258" s="328"/>
      <c r="Z258" s="328"/>
      <c r="AA258" s="328"/>
      <c r="AB258" s="328"/>
      <c r="AC258" s="328"/>
      <c r="AD258" s="328"/>
    </row>
    <row r="259" spans="1:30" ht="24.95" customHeight="1">
      <c r="A259" s="326" t="s">
        <v>683</v>
      </c>
      <c r="B259" s="326"/>
      <c r="C259" s="326"/>
      <c r="D259" s="326"/>
      <c r="E259" s="326"/>
      <c r="F259" s="326"/>
      <c r="G259" s="326"/>
      <c r="H259" s="326"/>
      <c r="I259" s="326"/>
      <c r="J259" s="326"/>
      <c r="K259" s="326"/>
      <c r="L259" s="326"/>
      <c r="M259" s="326"/>
      <c r="N259" s="326"/>
      <c r="O259" s="326"/>
      <c r="P259" s="328"/>
      <c r="Q259" s="328"/>
      <c r="R259" s="328"/>
      <c r="S259" s="328"/>
      <c r="T259" s="328"/>
      <c r="U259" s="328"/>
      <c r="V259" s="328"/>
      <c r="W259" s="328"/>
      <c r="X259" s="328"/>
      <c r="Y259" s="328"/>
      <c r="Z259" s="328"/>
      <c r="AA259" s="328"/>
      <c r="AB259" s="328"/>
      <c r="AC259" s="328"/>
      <c r="AD259" s="328"/>
    </row>
    <row r="260" spans="1:30" ht="24.95" customHeight="1">
      <c r="A260" s="326" t="s">
        <v>684</v>
      </c>
      <c r="B260" s="326"/>
      <c r="C260" s="326"/>
      <c r="D260" s="326"/>
      <c r="E260" s="326"/>
      <c r="F260" s="326"/>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326"/>
      <c r="AC260" s="326"/>
      <c r="AD260" s="326"/>
    </row>
    <row r="261" spans="1:30" ht="34.5" customHeight="1">
      <c r="A261" s="326" t="s">
        <v>685</v>
      </c>
      <c r="B261" s="326"/>
      <c r="C261" s="326"/>
      <c r="D261" s="326"/>
      <c r="E261" s="326"/>
      <c r="F261" s="326"/>
      <c r="G261" s="326"/>
      <c r="H261" s="326"/>
      <c r="I261" s="326"/>
      <c r="J261" s="326"/>
      <c r="K261" s="326"/>
      <c r="L261" s="326"/>
      <c r="M261" s="326"/>
      <c r="N261" s="326"/>
      <c r="O261" s="326"/>
      <c r="P261" s="326"/>
      <c r="Q261" s="326"/>
      <c r="R261" s="326"/>
      <c r="S261" s="326"/>
      <c r="T261" s="326"/>
      <c r="U261" s="326"/>
      <c r="V261" s="326"/>
      <c r="W261" s="326"/>
      <c r="X261" s="326"/>
      <c r="Y261" s="326"/>
      <c r="Z261" s="326"/>
      <c r="AA261" s="326"/>
      <c r="AB261" s="326"/>
      <c r="AC261" s="326"/>
      <c r="AD261" s="326"/>
    </row>
    <row r="262" spans="1:30" ht="19.5" customHeight="1">
      <c r="A262" s="326" t="s">
        <v>686</v>
      </c>
      <c r="B262" s="326"/>
      <c r="C262" s="326"/>
      <c r="D262" s="326"/>
      <c r="E262" s="326"/>
      <c r="F262" s="326"/>
      <c r="G262" s="326"/>
      <c r="H262" s="326"/>
      <c r="I262" s="326"/>
      <c r="J262" s="326"/>
      <c r="K262" s="326"/>
      <c r="L262" s="326"/>
      <c r="M262" s="326"/>
      <c r="N262" s="326"/>
      <c r="O262" s="326"/>
      <c r="P262" s="328"/>
      <c r="Q262" s="328"/>
      <c r="R262" s="328"/>
      <c r="S262" s="328"/>
      <c r="T262" s="328"/>
      <c r="U262" s="328"/>
      <c r="V262" s="328"/>
      <c r="W262" s="328"/>
      <c r="X262" s="328"/>
      <c r="Y262" s="328"/>
      <c r="Z262" s="328"/>
      <c r="AA262" s="328"/>
      <c r="AB262" s="328"/>
      <c r="AC262" s="328"/>
      <c r="AD262" s="328"/>
    </row>
    <row r="263" spans="1:30" ht="19.5" customHeight="1">
      <c r="A263" s="326" t="s">
        <v>687</v>
      </c>
      <c r="B263" s="326"/>
      <c r="C263" s="326"/>
      <c r="D263" s="326"/>
      <c r="E263" s="326"/>
      <c r="F263" s="326"/>
      <c r="G263" s="326"/>
      <c r="H263" s="326"/>
      <c r="I263" s="326"/>
      <c r="J263" s="326"/>
      <c r="K263" s="326"/>
      <c r="L263" s="326"/>
      <c r="M263" s="326"/>
      <c r="N263" s="326"/>
      <c r="O263" s="326"/>
      <c r="P263" s="328"/>
      <c r="Q263" s="328"/>
      <c r="R263" s="328"/>
      <c r="S263" s="328"/>
      <c r="T263" s="328"/>
      <c r="U263" s="328"/>
      <c r="V263" s="328"/>
      <c r="W263" s="328"/>
      <c r="X263" s="328"/>
      <c r="Y263" s="328"/>
      <c r="Z263" s="328"/>
      <c r="AA263" s="328"/>
      <c r="AB263" s="328"/>
      <c r="AC263" s="328"/>
      <c r="AD263" s="328"/>
    </row>
  </sheetData>
  <sheetProtection formatCells="0" formatColumns="0" formatRows="0" insertColumns="0" insertRows="0" insertHyperlinks="0" deleteColumns="0" deleteRows="0" sort="0" autoFilter="0" pivotTables="0"/>
  <mergeCells count="7">
    <mergeCell ref="A263:AD263"/>
    <mergeCell ref="A262:AD262"/>
    <mergeCell ref="A257:AD257"/>
    <mergeCell ref="A259:AD259"/>
    <mergeCell ref="A258:AD258"/>
    <mergeCell ref="A261:AD261"/>
    <mergeCell ref="A260:AD260"/>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0"/>
  <sheetViews>
    <sheetView zoomScaleNormal="100" workbookViewId="0">
      <pane ySplit="2" topLeftCell="A3" activePane="bottomLeft" state="frozen"/>
      <selection pane="bottomLeft" activeCell="A2" sqref="A2"/>
    </sheetView>
  </sheetViews>
  <sheetFormatPr defaultColWidth="9.140625" defaultRowHeight="15"/>
  <cols>
    <col min="1" max="1" width="30.140625" style="18" customWidth="1"/>
    <col min="2" max="5" width="10.42578125" style="18" customWidth="1"/>
    <col min="6" max="15" width="9.85546875" style="18" bestFit="1" customWidth="1"/>
    <col min="16" max="16" width="5.42578125" style="18" customWidth="1"/>
    <col min="17" max="17" width="15.28515625" style="18" customWidth="1"/>
    <col min="18" max="18" width="5.5703125" style="18" customWidth="1"/>
    <col min="19" max="16384" width="9.140625" style="18"/>
  </cols>
  <sheetData>
    <row r="1" spans="1:17">
      <c r="A1" s="16" t="s">
        <v>119</v>
      </c>
      <c r="B1" s="16"/>
      <c r="C1" s="16"/>
      <c r="D1" s="16"/>
      <c r="E1" s="16"/>
      <c r="F1" s="16"/>
      <c r="G1" s="16"/>
      <c r="H1" s="16"/>
      <c r="I1" s="16"/>
      <c r="J1" s="16"/>
      <c r="K1" s="16"/>
      <c r="L1" s="16"/>
      <c r="M1" s="16"/>
      <c r="N1" s="16"/>
      <c r="O1" s="16"/>
      <c r="P1" s="16"/>
      <c r="Q1" s="16"/>
    </row>
    <row r="2" spans="1:17" ht="24.75">
      <c r="A2" s="19" t="s">
        <v>43</v>
      </c>
      <c r="B2" s="115" t="s">
        <v>634</v>
      </c>
      <c r="C2" s="115" t="s">
        <v>619</v>
      </c>
      <c r="D2" s="115" t="s">
        <v>595</v>
      </c>
      <c r="E2" s="115" t="s">
        <v>571</v>
      </c>
      <c r="F2" s="87">
        <v>45444</v>
      </c>
      <c r="G2" s="87">
        <v>45352</v>
      </c>
      <c r="H2" s="87">
        <v>45261</v>
      </c>
      <c r="I2" s="87">
        <v>45170</v>
      </c>
      <c r="J2" s="87">
        <v>45078</v>
      </c>
      <c r="K2" s="87">
        <v>44986</v>
      </c>
      <c r="L2" s="87">
        <v>44896</v>
      </c>
      <c r="M2" s="87">
        <v>44805</v>
      </c>
      <c r="N2" s="87">
        <v>44713</v>
      </c>
      <c r="O2" s="87">
        <v>44621</v>
      </c>
      <c r="P2" s="87"/>
      <c r="Q2" s="88" t="s">
        <v>635</v>
      </c>
    </row>
    <row r="3" spans="1:17">
      <c r="A3" s="89" t="s">
        <v>603</v>
      </c>
      <c r="B3" s="89"/>
      <c r="C3" s="89"/>
      <c r="D3" s="89"/>
      <c r="E3" s="89"/>
      <c r="F3" s="89"/>
      <c r="G3" s="89"/>
      <c r="H3" s="89"/>
      <c r="I3" s="89"/>
      <c r="J3" s="89"/>
      <c r="K3" s="89"/>
      <c r="L3" s="89"/>
      <c r="M3" s="89"/>
      <c r="N3" s="89"/>
      <c r="O3" s="89"/>
      <c r="P3" s="22"/>
      <c r="Q3" s="22"/>
    </row>
    <row r="4" spans="1:17">
      <c r="A4" s="90" t="s">
        <v>120</v>
      </c>
      <c r="B4" s="175">
        <v>10793.386</v>
      </c>
      <c r="C4" s="26">
        <v>10600.134</v>
      </c>
      <c r="D4" s="26">
        <v>10319.579</v>
      </c>
      <c r="E4" s="26">
        <v>10249.761</v>
      </c>
      <c r="F4" s="26">
        <v>10317.200000000001</v>
      </c>
      <c r="G4" s="26">
        <v>10275.995999999999</v>
      </c>
      <c r="H4" s="26">
        <v>10069.135</v>
      </c>
      <c r="I4" s="26">
        <v>10166.331</v>
      </c>
      <c r="J4" s="26">
        <v>10276.734</v>
      </c>
      <c r="K4" s="26">
        <v>10277.044</v>
      </c>
      <c r="L4" s="26">
        <v>10215.138000000001</v>
      </c>
      <c r="M4" s="26">
        <v>10911.003000000001</v>
      </c>
      <c r="N4" s="26">
        <v>11044.409</v>
      </c>
      <c r="O4" s="26">
        <v>10941.995999999999</v>
      </c>
      <c r="P4" s="91"/>
      <c r="Q4" s="162">
        <v>1.8231090286217173E-2</v>
      </c>
    </row>
    <row r="5" spans="1:17">
      <c r="A5" s="90" t="s">
        <v>105</v>
      </c>
      <c r="B5" s="175">
        <v>0</v>
      </c>
      <c r="C5" s="26">
        <v>0</v>
      </c>
      <c r="D5" s="26">
        <v>0</v>
      </c>
      <c r="E5" s="26">
        <v>0</v>
      </c>
      <c r="F5" s="26">
        <v>0</v>
      </c>
      <c r="G5" s="26">
        <v>0</v>
      </c>
      <c r="H5" s="26">
        <v>0</v>
      </c>
      <c r="I5" s="26">
        <v>0</v>
      </c>
      <c r="J5" s="26">
        <v>0</v>
      </c>
      <c r="K5" s="26">
        <v>0</v>
      </c>
      <c r="L5" s="26">
        <v>0</v>
      </c>
      <c r="M5" s="26">
        <v>0</v>
      </c>
      <c r="N5" s="26">
        <v>0</v>
      </c>
      <c r="O5" s="26">
        <v>0</v>
      </c>
      <c r="P5" s="91"/>
      <c r="Q5" s="162" t="s">
        <v>620</v>
      </c>
    </row>
    <row r="6" spans="1:17">
      <c r="A6" s="90" t="s">
        <v>121</v>
      </c>
      <c r="B6" s="175">
        <v>0.192</v>
      </c>
      <c r="C6" s="26">
        <v>0.31</v>
      </c>
      <c r="D6" s="26">
        <v>0.33400000000000002</v>
      </c>
      <c r="E6" s="26">
        <v>0.32900000000000001</v>
      </c>
      <c r="F6" s="26">
        <v>0.35099999999999998</v>
      </c>
      <c r="G6" s="26">
        <v>0.35199999999999998</v>
      </c>
      <c r="H6" s="26">
        <v>0.69299999999999995</v>
      </c>
      <c r="I6" s="26">
        <v>0.69099999999999995</v>
      </c>
      <c r="J6" s="26">
        <v>0.72399999999999998</v>
      </c>
      <c r="K6" s="26">
        <v>0.78</v>
      </c>
      <c r="L6" s="26">
        <v>2.3149999999999999</v>
      </c>
      <c r="M6" s="26">
        <v>2.3660000000000001</v>
      </c>
      <c r="N6" s="26">
        <v>2.62</v>
      </c>
      <c r="O6" s="26">
        <v>22.420999999999999</v>
      </c>
      <c r="P6" s="91"/>
      <c r="Q6" s="162">
        <v>-0.38064516129032255</v>
      </c>
    </row>
    <row r="7" spans="1:17" ht="15.75" thickBot="1">
      <c r="A7" s="92" t="s">
        <v>122</v>
      </c>
      <c r="B7" s="176">
        <v>10793.578</v>
      </c>
      <c r="C7" s="206">
        <v>10600.444</v>
      </c>
      <c r="D7" s="206">
        <v>10319.913</v>
      </c>
      <c r="E7" s="206">
        <v>10250.09</v>
      </c>
      <c r="F7" s="206">
        <v>10317.550999999999</v>
      </c>
      <c r="G7" s="206">
        <v>10276.348</v>
      </c>
      <c r="H7" s="206">
        <v>10069.828</v>
      </c>
      <c r="I7" s="206">
        <v>10167.022000000001</v>
      </c>
      <c r="J7" s="206">
        <v>10277.458000000001</v>
      </c>
      <c r="K7" s="206">
        <v>10277.824000000001</v>
      </c>
      <c r="L7" s="206">
        <v>10217.453</v>
      </c>
      <c r="M7" s="206">
        <v>10913.369000000001</v>
      </c>
      <c r="N7" s="206">
        <v>11047.029</v>
      </c>
      <c r="O7" s="206">
        <v>10964.416999999999</v>
      </c>
      <c r="P7" s="91"/>
      <c r="Q7" s="163">
        <v>1.821942552594967E-2</v>
      </c>
    </row>
    <row r="8" spans="1:17" ht="15.75" thickTop="1">
      <c r="A8" s="91"/>
      <c r="B8" s="26"/>
      <c r="C8" s="317"/>
      <c r="D8" s="26"/>
      <c r="E8" s="26"/>
      <c r="F8" s="26"/>
      <c r="G8" s="26"/>
      <c r="H8" s="26"/>
      <c r="I8" s="26"/>
      <c r="J8" s="26"/>
      <c r="K8" s="26"/>
      <c r="L8" s="26"/>
      <c r="M8" s="26"/>
      <c r="N8" s="26"/>
      <c r="O8" s="26"/>
      <c r="P8" s="91"/>
      <c r="Q8" s="164"/>
    </row>
    <row r="9" spans="1:17">
      <c r="A9" s="21" t="s">
        <v>711</v>
      </c>
      <c r="B9" s="26"/>
      <c r="C9" s="317"/>
      <c r="D9" s="26"/>
      <c r="E9" s="26"/>
      <c r="F9" s="26"/>
      <c r="G9" s="26"/>
      <c r="H9" s="26"/>
      <c r="I9" s="26"/>
      <c r="J9" s="26"/>
      <c r="K9" s="26"/>
      <c r="L9" s="26"/>
      <c r="M9" s="26"/>
      <c r="N9" s="26"/>
      <c r="O9" s="26"/>
      <c r="P9" s="91"/>
      <c r="Q9" s="164"/>
    </row>
    <row r="10" spans="1:17">
      <c r="A10" s="90" t="s">
        <v>120</v>
      </c>
      <c r="B10" s="175">
        <v>9667.7121764100011</v>
      </c>
      <c r="C10" s="26">
        <v>9564.8220000000001</v>
      </c>
      <c r="D10" s="26">
        <v>9354.021999999999</v>
      </c>
      <c r="E10" s="26"/>
      <c r="F10" s="26"/>
      <c r="G10" s="26"/>
      <c r="H10" s="26"/>
      <c r="I10" s="26"/>
      <c r="J10" s="26"/>
      <c r="K10" s="26"/>
      <c r="L10" s="26"/>
      <c r="M10" s="26"/>
      <c r="N10" s="26"/>
      <c r="O10" s="26"/>
      <c r="P10" s="91"/>
      <c r="Q10" s="164"/>
    </row>
    <row r="11" spans="1:17">
      <c r="A11" s="91" t="s">
        <v>582</v>
      </c>
      <c r="B11" s="175">
        <v>475.48099999999999</v>
      </c>
      <c r="C11" s="26">
        <v>415.36500000000001</v>
      </c>
      <c r="D11" s="26">
        <v>316.947</v>
      </c>
      <c r="E11" s="26"/>
      <c r="F11" s="26"/>
      <c r="G11" s="26"/>
      <c r="H11" s="26"/>
      <c r="I11" s="26"/>
      <c r="J11" s="26"/>
      <c r="K11" s="26"/>
      <c r="L11" s="26"/>
      <c r="M11" s="26"/>
      <c r="N11" s="26"/>
      <c r="O11" s="26"/>
      <c r="P11" s="91"/>
      <c r="Q11" s="164"/>
    </row>
    <row r="12" spans="1:17">
      <c r="A12" s="91" t="s">
        <v>105</v>
      </c>
      <c r="B12" s="175">
        <v>113.411</v>
      </c>
      <c r="C12" s="26">
        <v>76.512</v>
      </c>
      <c r="D12" s="26">
        <v>77.384</v>
      </c>
      <c r="E12" s="26"/>
      <c r="F12" s="26"/>
      <c r="G12" s="26"/>
      <c r="H12" s="26"/>
      <c r="I12" s="26"/>
      <c r="J12" s="26"/>
      <c r="K12" s="26"/>
      <c r="L12" s="26"/>
      <c r="M12" s="26"/>
      <c r="N12" s="26"/>
      <c r="O12" s="26"/>
      <c r="P12" s="91"/>
      <c r="Q12" s="164"/>
    </row>
    <row r="13" spans="1:17">
      <c r="A13" s="91" t="s">
        <v>212</v>
      </c>
      <c r="B13" s="175">
        <v>6.2480000000000002</v>
      </c>
      <c r="C13" s="26">
        <v>7.2910000000000004</v>
      </c>
      <c r="D13" s="26">
        <v>7.4950000000000001</v>
      </c>
      <c r="E13" s="26"/>
      <c r="F13" s="26"/>
      <c r="G13" s="26"/>
      <c r="H13" s="26"/>
      <c r="I13" s="26"/>
      <c r="J13" s="26"/>
      <c r="K13" s="26"/>
      <c r="L13" s="26"/>
      <c r="M13" s="26"/>
      <c r="N13" s="26"/>
      <c r="O13" s="26"/>
      <c r="P13" s="91"/>
      <c r="Q13" s="164"/>
    </row>
    <row r="14" spans="1:17">
      <c r="A14" s="91" t="s">
        <v>588</v>
      </c>
      <c r="B14" s="175">
        <v>530.72692143927861</v>
      </c>
      <c r="C14" s="26">
        <v>536.45399999999995</v>
      </c>
      <c r="D14" s="26">
        <v>564.06500000000005</v>
      </c>
      <c r="E14" s="26"/>
      <c r="F14" s="26"/>
      <c r="G14" s="26"/>
      <c r="H14" s="26"/>
      <c r="I14" s="26"/>
      <c r="J14" s="26"/>
      <c r="K14" s="26"/>
      <c r="L14" s="26"/>
      <c r="M14" s="26"/>
      <c r="N14" s="26"/>
      <c r="O14" s="26"/>
      <c r="P14" s="91"/>
      <c r="Q14" s="164"/>
    </row>
    <row r="15" spans="1:17" ht="15.75" thickBot="1">
      <c r="A15" s="19" t="s">
        <v>126</v>
      </c>
      <c r="B15" s="176">
        <v>10793.579097849281</v>
      </c>
      <c r="C15" s="206">
        <v>10600.444</v>
      </c>
      <c r="D15" s="206">
        <v>10319.913</v>
      </c>
      <c r="E15" s="26"/>
      <c r="F15" s="26"/>
      <c r="G15" s="26"/>
      <c r="H15" s="26"/>
      <c r="I15" s="26"/>
      <c r="J15" s="26"/>
      <c r="K15" s="26"/>
      <c r="L15" s="26"/>
      <c r="M15" s="26"/>
      <c r="N15" s="26"/>
      <c r="O15" s="26"/>
      <c r="P15" s="91"/>
      <c r="Q15" s="164"/>
    </row>
    <row r="16" spans="1:17" ht="15.75" thickTop="1">
      <c r="A16" s="91"/>
      <c r="B16" s="26"/>
      <c r="C16" s="26"/>
      <c r="D16" s="26"/>
      <c r="E16" s="26"/>
      <c r="F16" s="26"/>
      <c r="G16" s="26"/>
      <c r="H16" s="26"/>
      <c r="I16" s="26"/>
      <c r="J16" s="26"/>
      <c r="K16" s="26"/>
      <c r="L16" s="26"/>
      <c r="M16" s="26"/>
      <c r="N16" s="26"/>
      <c r="O16" s="26"/>
      <c r="P16" s="91"/>
      <c r="Q16" s="164"/>
    </row>
    <row r="17" spans="1:17">
      <c r="A17" s="21" t="s">
        <v>713</v>
      </c>
      <c r="B17" s="240"/>
      <c r="C17" s="240"/>
      <c r="D17" s="240"/>
      <c r="E17" s="240"/>
      <c r="F17" s="240"/>
      <c r="G17" s="240"/>
      <c r="H17" s="240"/>
      <c r="I17" s="240"/>
      <c r="J17" s="240"/>
      <c r="K17" s="240"/>
      <c r="L17" s="240"/>
      <c r="M17" s="240"/>
      <c r="N17" s="240"/>
      <c r="O17" s="240"/>
      <c r="P17" s="21"/>
      <c r="Q17" s="148"/>
    </row>
    <row r="18" spans="1:17">
      <c r="A18" s="38" t="s">
        <v>589</v>
      </c>
      <c r="B18" s="175">
        <v>3870.4939999999997</v>
      </c>
      <c r="C18" s="26">
        <v>3808.3910000000005</v>
      </c>
      <c r="D18" s="26">
        <v>3646.4529999999995</v>
      </c>
      <c r="E18" s="26">
        <v>3717.4469999999997</v>
      </c>
      <c r="F18" s="26">
        <v>3825.3180000000002</v>
      </c>
      <c r="G18" s="26">
        <v>3865.9210000000003</v>
      </c>
      <c r="H18" s="26">
        <v>3746.5600000000004</v>
      </c>
      <c r="I18" s="26">
        <v>3848.9769999999999</v>
      </c>
      <c r="J18" s="26">
        <v>3968.2599999999998</v>
      </c>
      <c r="K18" s="26">
        <v>3980.8850000000002</v>
      </c>
      <c r="L18" s="26">
        <v>3923.5159999999996</v>
      </c>
      <c r="M18" s="26">
        <v>2424.73</v>
      </c>
      <c r="N18" s="26">
        <v>2550.3939999999998</v>
      </c>
      <c r="O18" s="26">
        <v>2514.5819999999999</v>
      </c>
      <c r="P18" s="91"/>
      <c r="Q18" s="162">
        <v>1.6306886556553449E-2</v>
      </c>
    </row>
    <row r="19" spans="1:17">
      <c r="A19" s="38" t="s">
        <v>461</v>
      </c>
      <c r="B19" s="175"/>
      <c r="C19" s="26"/>
      <c r="D19" s="26"/>
      <c r="E19" s="26"/>
      <c r="F19" s="26"/>
      <c r="G19" s="26"/>
      <c r="H19" s="26"/>
      <c r="I19" s="26"/>
      <c r="J19" s="26"/>
      <c r="K19" s="26"/>
      <c r="L19" s="26"/>
      <c r="M19" s="26">
        <v>2324.5369999999998</v>
      </c>
      <c r="N19" s="26">
        <v>2287.424</v>
      </c>
      <c r="O19" s="26">
        <v>2257.2910000000002</v>
      </c>
      <c r="P19" s="91"/>
      <c r="Q19" s="162" t="s">
        <v>620</v>
      </c>
    </row>
    <row r="20" spans="1:17">
      <c r="A20" s="38" t="s">
        <v>462</v>
      </c>
      <c r="B20" s="175">
        <v>1112.6590000000001</v>
      </c>
      <c r="C20" s="26">
        <v>1038.539</v>
      </c>
      <c r="D20" s="26">
        <v>961.34699999999998</v>
      </c>
      <c r="E20" s="26">
        <v>825.12699999999995</v>
      </c>
      <c r="F20" s="26">
        <v>820.63300000000004</v>
      </c>
      <c r="G20" s="26">
        <v>773.26900000000001</v>
      </c>
      <c r="H20" s="26">
        <v>762.59699999999998</v>
      </c>
      <c r="I20" s="26">
        <v>743.49400000000003</v>
      </c>
      <c r="J20" s="26">
        <v>694.78599999999994</v>
      </c>
      <c r="K20" s="26">
        <v>667.87</v>
      </c>
      <c r="L20" s="26">
        <v>685.40800000000002</v>
      </c>
      <c r="M20" s="26"/>
      <c r="N20" s="26"/>
      <c r="O20" s="26"/>
      <c r="P20" s="91"/>
      <c r="Q20" s="162">
        <v>7.1369491179435834E-2</v>
      </c>
    </row>
    <row r="21" spans="1:17">
      <c r="A21" s="38" t="s">
        <v>12</v>
      </c>
      <c r="B21" s="175">
        <v>1019.378</v>
      </c>
      <c r="C21" s="26">
        <v>1023.824</v>
      </c>
      <c r="D21" s="26">
        <v>1005.115</v>
      </c>
      <c r="E21" s="26">
        <v>1001.985</v>
      </c>
      <c r="F21" s="26">
        <v>1020.4450000000001</v>
      </c>
      <c r="G21" s="26">
        <v>1023.688</v>
      </c>
      <c r="H21" s="26">
        <v>1010.148</v>
      </c>
      <c r="I21" s="26">
        <v>1030.8510000000001</v>
      </c>
      <c r="J21" s="26">
        <v>1066.778</v>
      </c>
      <c r="K21" s="26">
        <v>1095.7270000000001</v>
      </c>
      <c r="L21" s="26">
        <v>1119.453</v>
      </c>
      <c r="M21" s="26">
        <v>1160.7909999999999</v>
      </c>
      <c r="N21" s="26">
        <v>1168.5170000000001</v>
      </c>
      <c r="O21" s="26">
        <v>1187.7239999999999</v>
      </c>
      <c r="P21" s="91"/>
      <c r="Q21" s="162">
        <v>-4.3425432496209436E-3</v>
      </c>
    </row>
    <row r="22" spans="1:17">
      <c r="A22" s="38" t="s">
        <v>124</v>
      </c>
      <c r="B22" s="175">
        <v>3688.4229999999998</v>
      </c>
      <c r="C22" s="26">
        <v>3647.4760000000001</v>
      </c>
      <c r="D22" s="26">
        <v>3631.0539999999996</v>
      </c>
      <c r="E22" s="26">
        <v>3624.971</v>
      </c>
      <c r="F22" s="26">
        <v>3596.8760000000002</v>
      </c>
      <c r="G22" s="26">
        <v>3575.549</v>
      </c>
      <c r="H22" s="26">
        <v>3556.172</v>
      </c>
      <c r="I22" s="26">
        <v>3547.4920000000002</v>
      </c>
      <c r="J22" s="26">
        <v>3563.2429999999999</v>
      </c>
      <c r="K22" s="26">
        <v>3559.431</v>
      </c>
      <c r="L22" s="26">
        <v>3541.8240000000001</v>
      </c>
      <c r="M22" s="26">
        <v>3787.7849999999999</v>
      </c>
      <c r="N22" s="26">
        <v>3798.837</v>
      </c>
      <c r="O22" s="26">
        <v>3758.3380000000002</v>
      </c>
      <c r="P22" s="91"/>
      <c r="Q22" s="162">
        <v>1.1226119102634166E-2</v>
      </c>
    </row>
    <row r="23" spans="1:17">
      <c r="A23" s="38" t="s">
        <v>125</v>
      </c>
      <c r="B23" s="175">
        <v>1102.624</v>
      </c>
      <c r="C23" s="26">
        <v>1082.2139999999999</v>
      </c>
      <c r="D23" s="26">
        <v>1075.9440000000002</v>
      </c>
      <c r="E23" s="26">
        <v>1080.56</v>
      </c>
      <c r="F23" s="26">
        <v>1054.279</v>
      </c>
      <c r="G23" s="26">
        <v>1037.921</v>
      </c>
      <c r="H23" s="26">
        <v>994.351</v>
      </c>
      <c r="I23" s="26">
        <v>996.20799999999997</v>
      </c>
      <c r="J23" s="26">
        <v>984.39099999999996</v>
      </c>
      <c r="K23" s="26">
        <v>973.91099999999994</v>
      </c>
      <c r="L23" s="26">
        <v>947.25199999999995</v>
      </c>
      <c r="M23" s="26">
        <v>1215.5260000000001</v>
      </c>
      <c r="N23" s="26">
        <v>1241.857</v>
      </c>
      <c r="O23" s="26">
        <v>1246.482</v>
      </c>
      <c r="P23" s="91"/>
      <c r="Q23" s="162">
        <v>1.8859486201435283E-2</v>
      </c>
    </row>
    <row r="24" spans="1:17" ht="15.75" thickBot="1">
      <c r="A24" s="19" t="s">
        <v>126</v>
      </c>
      <c r="B24" s="176">
        <v>10793.578</v>
      </c>
      <c r="C24" s="206">
        <v>10600.444</v>
      </c>
      <c r="D24" s="206">
        <v>10319.913</v>
      </c>
      <c r="E24" s="206">
        <v>10250.09</v>
      </c>
      <c r="F24" s="206">
        <v>10317.550999999999</v>
      </c>
      <c r="G24" s="206">
        <v>10276.348</v>
      </c>
      <c r="H24" s="206">
        <v>10069.828</v>
      </c>
      <c r="I24" s="206">
        <v>10167.022000000001</v>
      </c>
      <c r="J24" s="206">
        <v>10277.458000000001</v>
      </c>
      <c r="K24" s="206">
        <v>10277.824000000001</v>
      </c>
      <c r="L24" s="206">
        <v>10217.453</v>
      </c>
      <c r="M24" s="206">
        <v>10913.369000000001</v>
      </c>
      <c r="N24" s="206">
        <v>11047.029</v>
      </c>
      <c r="O24" s="206">
        <v>10964.416999999999</v>
      </c>
      <c r="P24" s="91"/>
      <c r="Q24" s="163">
        <v>1.821942552594967E-2</v>
      </c>
    </row>
    <row r="25" spans="1:17" ht="15.75" thickTop="1">
      <c r="A25" s="91"/>
      <c r="B25" s="93"/>
      <c r="C25" s="93"/>
      <c r="D25" s="93"/>
      <c r="E25" s="93"/>
      <c r="F25" s="93"/>
      <c r="G25" s="93"/>
      <c r="H25" s="93"/>
      <c r="I25" s="93"/>
      <c r="J25" s="93"/>
      <c r="K25" s="93"/>
      <c r="L25" s="93"/>
      <c r="M25" s="93"/>
      <c r="N25" s="93"/>
      <c r="O25" s="93"/>
      <c r="P25" s="91"/>
      <c r="Q25" s="164"/>
    </row>
    <row r="26" spans="1:17">
      <c r="A26" s="21" t="s">
        <v>460</v>
      </c>
      <c r="B26" s="80"/>
      <c r="C26" s="80"/>
      <c r="D26" s="80"/>
      <c r="E26" s="80"/>
      <c r="F26" s="80"/>
      <c r="G26" s="80"/>
      <c r="H26" s="80"/>
      <c r="I26" s="80"/>
      <c r="J26" s="80"/>
      <c r="K26" s="80"/>
      <c r="L26" s="80"/>
      <c r="M26" s="80"/>
      <c r="N26" s="80"/>
      <c r="O26" s="80"/>
      <c r="P26" s="95"/>
      <c r="Q26" s="165"/>
    </row>
    <row r="27" spans="1:17">
      <c r="A27" s="38" t="s">
        <v>129</v>
      </c>
      <c r="B27" s="245">
        <v>3.5669828044089429E-3</v>
      </c>
      <c r="C27" s="41">
        <v>3.9139952321041935E-3</v>
      </c>
      <c r="D27" s="41">
        <v>2.9708997603164907E-3</v>
      </c>
      <c r="E27" s="41">
        <v>2.9115107249110912E-3</v>
      </c>
      <c r="F27" s="41">
        <v>3.0587218858109926E-3</v>
      </c>
      <c r="G27" s="41">
        <v>2.6621911097095799E-3</v>
      </c>
      <c r="H27" s="41">
        <v>6.1860057518582133E-3</v>
      </c>
      <c r="I27" s="41">
        <v>5.7809383338336537E-3</v>
      </c>
      <c r="J27" s="41">
        <v>4.8010478467913056E-3</v>
      </c>
      <c r="K27" s="41">
        <v>4.4353405740909417E-3</v>
      </c>
      <c r="L27" s="41">
        <v>4.4336038194336021E-3</v>
      </c>
      <c r="M27" s="41">
        <v>4.3676882314907847E-3</v>
      </c>
      <c r="N27" s="41">
        <v>4.2568766705656435E-3</v>
      </c>
      <c r="O27" s="41">
        <v>4.4346483242250186E-3</v>
      </c>
      <c r="Q27" s="278">
        <v>-3.4701242769525058E-4</v>
      </c>
    </row>
    <row r="28" spans="1:17" ht="26.25" hidden="1">
      <c r="A28" s="167" t="s">
        <v>190</v>
      </c>
      <c r="B28" s="267"/>
      <c r="C28" s="267"/>
      <c r="D28" s="267"/>
      <c r="E28" s="267"/>
      <c r="F28" s="267"/>
      <c r="G28" s="267"/>
      <c r="H28" s="267"/>
      <c r="I28" s="267"/>
      <c r="J28" s="267"/>
      <c r="K28" s="267"/>
      <c r="L28" s="267"/>
      <c r="M28" s="267"/>
      <c r="N28" s="267"/>
      <c r="O28" s="267"/>
      <c r="Q28" s="129"/>
    </row>
    <row r="29" spans="1:17">
      <c r="A29" s="91"/>
      <c r="B29" s="91"/>
      <c r="C29" s="91"/>
      <c r="D29" s="91"/>
      <c r="E29" s="91"/>
      <c r="F29" s="91"/>
      <c r="G29" s="91"/>
      <c r="H29" s="91"/>
      <c r="I29" s="91"/>
      <c r="J29" s="91"/>
      <c r="K29" s="91"/>
      <c r="L29" s="91"/>
      <c r="M29" s="91"/>
      <c r="N29" s="91"/>
      <c r="O29" s="91"/>
    </row>
    <row r="30" spans="1:17">
      <c r="A30" s="21" t="s">
        <v>572</v>
      </c>
      <c r="B30" s="80"/>
      <c r="C30" s="80"/>
      <c r="D30" s="80"/>
      <c r="E30" s="80"/>
      <c r="F30" s="80"/>
      <c r="G30" s="80"/>
      <c r="H30" s="80"/>
      <c r="I30" s="80"/>
      <c r="J30" s="80"/>
      <c r="K30" s="80"/>
      <c r="L30" s="80"/>
      <c r="M30" s="80"/>
      <c r="N30" s="80"/>
      <c r="O30" s="80"/>
      <c r="P30" s="95"/>
      <c r="Q30" s="165"/>
    </row>
    <row r="31" spans="1:17">
      <c r="A31" s="18" t="s">
        <v>240</v>
      </c>
      <c r="B31" s="175">
        <v>-234.3</v>
      </c>
      <c r="C31" s="26">
        <v>-231.285</v>
      </c>
      <c r="D31" s="26">
        <v>-223.41200000000001</v>
      </c>
      <c r="E31" s="26">
        <v>-236.654</v>
      </c>
      <c r="F31" s="26">
        <v>-250.61</v>
      </c>
      <c r="G31" s="26">
        <v>-267.42</v>
      </c>
      <c r="H31" s="26">
        <v>-267.23200000000003</v>
      </c>
      <c r="I31" s="26">
        <v>-274.536</v>
      </c>
      <c r="J31" s="26">
        <v>-287.64499999999998</v>
      </c>
      <c r="K31" s="26">
        <v>-282.411</v>
      </c>
      <c r="L31" s="26">
        <v>-281.63</v>
      </c>
      <c r="M31" s="26">
        <v>-610.24699999999996</v>
      </c>
      <c r="N31" s="26">
        <v>-677.24</v>
      </c>
      <c r="O31" s="26">
        <v>-734.06</v>
      </c>
      <c r="P31" s="91"/>
      <c r="Q31" s="162">
        <v>1.303586484207802E-2</v>
      </c>
    </row>
    <row r="34" spans="1:18" ht="21" customHeight="1">
      <c r="A34" s="297" t="s">
        <v>463</v>
      </c>
      <c r="B34" s="298"/>
      <c r="C34" s="298"/>
      <c r="D34" s="298"/>
      <c r="E34" s="298"/>
      <c r="F34" s="298"/>
      <c r="G34" s="298"/>
      <c r="H34" s="298"/>
      <c r="I34" s="298"/>
      <c r="J34" s="298"/>
      <c r="K34" s="298"/>
      <c r="L34" s="298"/>
      <c r="M34" s="298"/>
      <c r="N34" s="298"/>
      <c r="O34" s="298"/>
      <c r="P34" s="298"/>
      <c r="Q34" s="298"/>
    </row>
    <row r="35" spans="1:18" ht="27" customHeight="1">
      <c r="A35" s="326" t="s">
        <v>490</v>
      </c>
      <c r="B35" s="326"/>
      <c r="C35" s="326"/>
      <c r="D35" s="326"/>
      <c r="E35" s="326"/>
      <c r="F35" s="326"/>
      <c r="G35" s="326"/>
      <c r="H35" s="326"/>
      <c r="I35" s="326"/>
      <c r="J35" s="326"/>
      <c r="K35" s="326"/>
      <c r="L35" s="326"/>
      <c r="M35" s="326"/>
      <c r="N35" s="326"/>
      <c r="O35" s="326"/>
      <c r="P35" s="326"/>
      <c r="Q35" s="326"/>
    </row>
    <row r="36" spans="1:18" ht="28.5" customHeight="1">
      <c r="A36" s="326" t="s">
        <v>499</v>
      </c>
      <c r="B36" s="326"/>
      <c r="C36" s="326"/>
      <c r="D36" s="326"/>
      <c r="E36" s="326"/>
      <c r="F36" s="326"/>
      <c r="G36" s="326"/>
      <c r="H36" s="326"/>
      <c r="I36" s="326"/>
      <c r="J36" s="326"/>
      <c r="K36" s="326"/>
      <c r="L36" s="326"/>
      <c r="M36" s="326"/>
      <c r="N36" s="326"/>
      <c r="O36" s="326"/>
      <c r="P36" s="326"/>
      <c r="Q36" s="326"/>
      <c r="R36" s="213"/>
    </row>
    <row r="37" spans="1:18" ht="25.5" customHeight="1">
      <c r="A37" s="326" t="s">
        <v>598</v>
      </c>
      <c r="B37" s="326"/>
      <c r="C37" s="326"/>
      <c r="D37" s="326"/>
      <c r="E37" s="326"/>
      <c r="F37" s="326"/>
      <c r="G37" s="326"/>
      <c r="H37" s="326"/>
      <c r="I37" s="326"/>
      <c r="J37" s="326"/>
      <c r="K37" s="326"/>
      <c r="L37" s="326"/>
      <c r="M37" s="326"/>
      <c r="N37" s="326"/>
      <c r="O37" s="326"/>
    </row>
    <row r="38" spans="1:18" ht="19.5" customHeight="1">
      <c r="A38" s="326" t="s">
        <v>605</v>
      </c>
      <c r="B38" s="326"/>
      <c r="C38" s="326"/>
      <c r="D38" s="326"/>
      <c r="E38" s="326"/>
      <c r="F38" s="326"/>
      <c r="G38" s="326"/>
      <c r="H38" s="326"/>
      <c r="I38" s="326"/>
      <c r="J38" s="326"/>
      <c r="K38" s="326"/>
      <c r="L38" s="326"/>
      <c r="M38" s="326"/>
      <c r="N38" s="326"/>
      <c r="O38" s="326"/>
    </row>
    <row r="39" spans="1:18" ht="22.5" customHeight="1">
      <c r="A39" s="326" t="s">
        <v>712</v>
      </c>
      <c r="B39" s="326"/>
      <c r="C39" s="326"/>
      <c r="D39" s="326"/>
      <c r="E39" s="326"/>
      <c r="F39" s="326"/>
      <c r="G39" s="326"/>
      <c r="H39" s="326"/>
      <c r="I39" s="326"/>
      <c r="J39" s="326"/>
      <c r="K39" s="326"/>
      <c r="L39" s="326"/>
      <c r="M39" s="326"/>
      <c r="N39" s="326"/>
      <c r="O39" s="326"/>
    </row>
    <row r="40" spans="1:18" ht="18.75" customHeight="1">
      <c r="A40" s="326" t="s">
        <v>714</v>
      </c>
      <c r="B40" s="326"/>
      <c r="C40" s="326"/>
      <c r="D40" s="326"/>
      <c r="E40" s="326"/>
      <c r="F40" s="326"/>
      <c r="G40" s="326"/>
      <c r="H40" s="326"/>
      <c r="I40" s="326"/>
      <c r="J40" s="326"/>
      <c r="K40" s="326"/>
      <c r="L40" s="326"/>
      <c r="M40" s="326"/>
      <c r="N40" s="326"/>
      <c r="O40" s="326"/>
    </row>
  </sheetData>
  <sheetProtection formatCells="0" formatColumns="0" formatRows="0" insertColumns="0" insertRows="0" insertHyperlinks="0" deleteColumns="0" deleteRows="0" sort="0" autoFilter="0" pivotTables="0"/>
  <mergeCells count="6">
    <mergeCell ref="A39:O39"/>
    <mergeCell ref="A40:O40"/>
    <mergeCell ref="A35:Q35"/>
    <mergeCell ref="A36:Q36"/>
    <mergeCell ref="A37:O37"/>
    <mergeCell ref="A38:O38"/>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60" sqref="A60"/>
    </sheetView>
  </sheetViews>
  <sheetFormatPr defaultColWidth="9.140625" defaultRowHeight="15"/>
  <cols>
    <col min="1" max="1" width="40.5703125" style="18" bestFit="1" customWidth="1"/>
    <col min="2" max="5" width="9.140625" style="18" customWidth="1"/>
    <col min="6" max="13" width="9.140625" style="18"/>
    <col min="14" max="14" width="6.7109375" style="18" customWidth="1"/>
    <col min="15" max="16" width="15.28515625" style="18" customWidth="1"/>
    <col min="17" max="16384" width="9.140625" style="18"/>
  </cols>
  <sheetData>
    <row r="1" spans="1:16" ht="36.75" customHeight="1">
      <c r="A1" s="16" t="s">
        <v>130</v>
      </c>
      <c r="B1" s="330" t="s">
        <v>298</v>
      </c>
      <c r="C1" s="330"/>
      <c r="D1" s="330"/>
      <c r="E1" s="330"/>
      <c r="F1" s="330"/>
      <c r="G1" s="330"/>
      <c r="H1" s="330"/>
      <c r="I1" s="330"/>
      <c r="J1" s="330"/>
      <c r="K1" s="330"/>
      <c r="L1" s="330"/>
      <c r="M1" s="330"/>
      <c r="N1" s="330"/>
      <c r="O1" s="330"/>
      <c r="P1" s="330"/>
    </row>
    <row r="2" spans="1:16" ht="24.75">
      <c r="A2" s="19" t="s">
        <v>43</v>
      </c>
      <c r="B2" s="87">
        <v>43070</v>
      </c>
      <c r="C2" s="87">
        <v>42979</v>
      </c>
      <c r="D2" s="87">
        <v>42887</v>
      </c>
      <c r="E2" s="87" t="s">
        <v>60</v>
      </c>
      <c r="F2" s="87">
        <v>42705</v>
      </c>
      <c r="G2" s="87" t="s">
        <v>61</v>
      </c>
      <c r="H2" s="87" t="s">
        <v>62</v>
      </c>
      <c r="I2" s="87" t="s">
        <v>63</v>
      </c>
      <c r="J2" s="87" t="s">
        <v>64</v>
      </c>
      <c r="K2" s="87" t="s">
        <v>65</v>
      </c>
      <c r="L2" s="87" t="s">
        <v>66</v>
      </c>
      <c r="M2" s="87" t="s">
        <v>67</v>
      </c>
      <c r="N2" s="87"/>
      <c r="O2" s="88" t="s">
        <v>245</v>
      </c>
      <c r="P2" s="88" t="s">
        <v>246</v>
      </c>
    </row>
    <row r="3" spans="1:16">
      <c r="A3" s="89" t="s">
        <v>131</v>
      </c>
      <c r="B3" s="89"/>
      <c r="C3" s="89"/>
      <c r="D3" s="100"/>
      <c r="E3" s="100"/>
      <c r="F3" s="100"/>
      <c r="G3" s="100"/>
      <c r="H3" s="100"/>
      <c r="I3" s="100"/>
      <c r="J3" s="100"/>
      <c r="K3" s="100"/>
      <c r="L3" s="100"/>
      <c r="M3" s="100"/>
      <c r="N3" s="100"/>
      <c r="O3" s="100"/>
      <c r="P3" s="100"/>
    </row>
    <row r="4" spans="1:16">
      <c r="A4" s="38" t="s">
        <v>123</v>
      </c>
      <c r="B4" s="179">
        <v>3154.7420000000002</v>
      </c>
      <c r="C4" s="81">
        <v>2976.6469999999999</v>
      </c>
      <c r="D4" s="81">
        <v>3234.9589999999998</v>
      </c>
      <c r="E4" s="81">
        <v>3609.2570000000001</v>
      </c>
      <c r="F4" s="81">
        <v>3852.3470000000002</v>
      </c>
      <c r="G4" s="81">
        <v>4158.1120000000001</v>
      </c>
      <c r="H4" s="81">
        <v>4492.2740000000003</v>
      </c>
      <c r="I4" s="81">
        <v>5325.7479999999996</v>
      </c>
      <c r="J4" s="81">
        <v>6245.7780000000002</v>
      </c>
      <c r="K4" s="81">
        <v>6742.3869999999997</v>
      </c>
      <c r="L4" s="81">
        <v>7097.5129999999999</v>
      </c>
      <c r="M4" s="81">
        <v>7175.9690000000001</v>
      </c>
      <c r="N4" s="101"/>
      <c r="O4" s="103">
        <v>5.9830406494287044E-2</v>
      </c>
      <c r="P4" s="103">
        <v>-0.18108597174657429</v>
      </c>
    </row>
    <row r="5" spans="1:16">
      <c r="A5" s="38" t="s">
        <v>12</v>
      </c>
      <c r="B5" s="179">
        <v>1524.636</v>
      </c>
      <c r="C5" s="81">
        <v>2010.692</v>
      </c>
      <c r="D5" s="81">
        <v>2137.4349999999999</v>
      </c>
      <c r="E5" s="81">
        <v>2268.556</v>
      </c>
      <c r="F5" s="81">
        <v>2356.41</v>
      </c>
      <c r="G5" s="81">
        <v>2493.9960000000001</v>
      </c>
      <c r="H5" s="81">
        <v>2649.6950000000002</v>
      </c>
      <c r="I5" s="81">
        <v>2787.3220000000001</v>
      </c>
      <c r="J5" s="81">
        <v>2900.692</v>
      </c>
      <c r="K5" s="81">
        <v>3034.4870000000001</v>
      </c>
      <c r="L5" s="81">
        <v>3129.971</v>
      </c>
      <c r="M5" s="81">
        <v>3137.12</v>
      </c>
      <c r="N5" s="101"/>
      <c r="O5" s="103">
        <v>-0.24173568104911147</v>
      </c>
      <c r="P5" s="103">
        <v>-0.35298356398080127</v>
      </c>
    </row>
    <row r="6" spans="1:16">
      <c r="A6" s="38" t="s">
        <v>124</v>
      </c>
      <c r="B6" s="179">
        <v>1173.4459999999999</v>
      </c>
      <c r="C6" s="81">
        <v>1161</v>
      </c>
      <c r="D6" s="81">
        <v>1153.53</v>
      </c>
      <c r="E6" s="81">
        <v>1105.7190000000001</v>
      </c>
      <c r="F6" s="81">
        <v>1076.452</v>
      </c>
      <c r="G6" s="81">
        <v>1090.2</v>
      </c>
      <c r="H6" s="81">
        <v>1088.2760000000001</v>
      </c>
      <c r="I6" s="81">
        <v>1106.421</v>
      </c>
      <c r="J6" s="81">
        <v>1105.3820000000001</v>
      </c>
      <c r="K6" s="81">
        <v>1137.7370000000001</v>
      </c>
      <c r="L6" s="81">
        <v>1176.453</v>
      </c>
      <c r="M6" s="81">
        <v>1212.8030000000001</v>
      </c>
      <c r="N6" s="101"/>
      <c r="O6" s="103">
        <v>1.0720068906115342E-2</v>
      </c>
      <c r="P6" s="103">
        <v>9.0105271763162603E-2</v>
      </c>
    </row>
    <row r="7" spans="1:16">
      <c r="A7" s="38" t="s">
        <v>125</v>
      </c>
      <c r="B7" s="179">
        <v>1051.931</v>
      </c>
      <c r="C7" s="81">
        <v>1033.8330000000001</v>
      </c>
      <c r="D7" s="81">
        <v>1034.825</v>
      </c>
      <c r="E7" s="81">
        <v>1027.31</v>
      </c>
      <c r="F7" s="81">
        <v>1023.557</v>
      </c>
      <c r="G7" s="81">
        <v>1025.817</v>
      </c>
      <c r="H7" s="81">
        <v>1038.607</v>
      </c>
      <c r="I7" s="81">
        <v>1069.1130000000001</v>
      </c>
      <c r="J7" s="81">
        <v>1077.48</v>
      </c>
      <c r="K7" s="81">
        <v>1082.9929999999999</v>
      </c>
      <c r="L7" s="81">
        <v>1242.4559999999999</v>
      </c>
      <c r="M7" s="81">
        <v>1263.0119999999999</v>
      </c>
      <c r="N7" s="101"/>
      <c r="O7" s="103">
        <v>1.7505728681518153E-2</v>
      </c>
      <c r="P7" s="103">
        <v>2.7720976946081187E-2</v>
      </c>
    </row>
    <row r="8" spans="1:16" ht="15.75" thickBot="1">
      <c r="A8" s="19" t="s">
        <v>127</v>
      </c>
      <c r="B8" s="180">
        <v>6904.7550000000001</v>
      </c>
      <c r="C8" s="110">
        <v>7182.1719999999996</v>
      </c>
      <c r="D8" s="110">
        <v>7560.7489999999998</v>
      </c>
      <c r="E8" s="110">
        <v>8010.8419999999996</v>
      </c>
      <c r="F8" s="110">
        <v>8308.7659999999996</v>
      </c>
      <c r="G8" s="110">
        <v>8768.125</v>
      </c>
      <c r="H8" s="110">
        <v>9268.8520000000008</v>
      </c>
      <c r="I8" s="110">
        <v>10288.603999999999</v>
      </c>
      <c r="J8" s="110">
        <v>11329.332</v>
      </c>
      <c r="K8" s="110">
        <v>11997.603999999999</v>
      </c>
      <c r="L8" s="110">
        <v>12646.393</v>
      </c>
      <c r="M8" s="110">
        <v>12788.904</v>
      </c>
      <c r="N8" s="101"/>
      <c r="O8" s="150">
        <v>-3.8625919847087999E-2</v>
      </c>
      <c r="P8" s="150">
        <v>-0.16897960539507309</v>
      </c>
    </row>
    <row r="9" spans="1:16" ht="15.75" thickTop="1">
      <c r="A9" s="38"/>
      <c r="B9" s="77"/>
      <c r="C9" s="81"/>
      <c r="D9" s="81"/>
      <c r="E9" s="81"/>
      <c r="F9" s="81"/>
      <c r="G9" s="81"/>
      <c r="H9" s="81"/>
      <c r="I9" s="81"/>
      <c r="J9" s="81"/>
      <c r="K9" s="81"/>
      <c r="L9" s="81"/>
      <c r="M9" s="81"/>
      <c r="N9" s="101"/>
      <c r="O9" s="103"/>
      <c r="P9" s="103"/>
    </row>
    <row r="10" spans="1:16">
      <c r="A10" s="38" t="s">
        <v>123</v>
      </c>
      <c r="B10" s="179">
        <v>2846.808</v>
      </c>
      <c r="C10" s="81">
        <v>2654.51</v>
      </c>
      <c r="D10" s="81">
        <v>2868.0309999999999</v>
      </c>
      <c r="E10" s="81">
        <v>3166.1010000000001</v>
      </c>
      <c r="F10" s="81">
        <v>3369.4389999999999</v>
      </c>
      <c r="G10" s="81">
        <v>3635.4639999999999</v>
      </c>
      <c r="H10" s="81">
        <v>3940.1759999999999</v>
      </c>
      <c r="I10" s="81">
        <v>4713.375</v>
      </c>
      <c r="J10" s="81">
        <v>5618.2489999999998</v>
      </c>
      <c r="K10" s="81">
        <v>6091.25</v>
      </c>
      <c r="L10" s="81">
        <v>6203.8159999999998</v>
      </c>
      <c r="M10" s="81">
        <v>6193.4250000000002</v>
      </c>
      <c r="N10" s="101"/>
      <c r="O10" s="103">
        <v>7.2441618227092594E-2</v>
      </c>
      <c r="P10" s="103">
        <v>-0.15510950042425461</v>
      </c>
    </row>
    <row r="11" spans="1:16">
      <c r="A11" s="38" t="s">
        <v>12</v>
      </c>
      <c r="B11" s="179">
        <v>1501.213</v>
      </c>
      <c r="C11" s="81">
        <v>1984.422</v>
      </c>
      <c r="D11" s="81">
        <v>2109.0509999999999</v>
      </c>
      <c r="E11" s="81">
        <v>2238.2710000000002</v>
      </c>
      <c r="F11" s="81">
        <v>2323.027</v>
      </c>
      <c r="G11" s="81">
        <v>2441.346</v>
      </c>
      <c r="H11" s="81">
        <v>2594.183</v>
      </c>
      <c r="I11" s="81">
        <v>2725.0880000000002</v>
      </c>
      <c r="J11" s="81">
        <v>2836.239</v>
      </c>
      <c r="K11" s="81">
        <v>2966.6779999999999</v>
      </c>
      <c r="L11" s="81">
        <v>3014.9580000000001</v>
      </c>
      <c r="M11" s="81">
        <v>3015.73</v>
      </c>
      <c r="N11" s="101"/>
      <c r="O11" s="103">
        <v>-0.24350113030393739</v>
      </c>
      <c r="P11" s="103">
        <v>-0.3537685958880375</v>
      </c>
    </row>
    <row r="12" spans="1:16">
      <c r="A12" s="38" t="s">
        <v>124</v>
      </c>
      <c r="B12" s="179">
        <v>1172.0630000000001</v>
      </c>
      <c r="C12" s="81">
        <v>1159.5989999999999</v>
      </c>
      <c r="D12" s="81">
        <v>1152.8689999999999</v>
      </c>
      <c r="E12" s="81">
        <v>1104.82</v>
      </c>
      <c r="F12" s="81">
        <v>1075.4169999999999</v>
      </c>
      <c r="G12" s="81">
        <v>1089.008</v>
      </c>
      <c r="H12" s="81">
        <v>1087.6500000000001</v>
      </c>
      <c r="I12" s="81">
        <v>1105.761</v>
      </c>
      <c r="J12" s="81">
        <v>1105.271</v>
      </c>
      <c r="K12" s="81">
        <v>1136.8989999999999</v>
      </c>
      <c r="L12" s="81">
        <v>1156.653</v>
      </c>
      <c r="M12" s="81">
        <v>1192.8679999999999</v>
      </c>
      <c r="N12" s="101"/>
      <c r="O12" s="103">
        <v>1.0748543246415502E-2</v>
      </c>
      <c r="P12" s="103">
        <v>8.9868395236452639E-2</v>
      </c>
    </row>
    <row r="13" spans="1:16">
      <c r="A13" s="38" t="s">
        <v>125</v>
      </c>
      <c r="B13" s="181">
        <v>1050.838</v>
      </c>
      <c r="C13" s="174">
        <v>1030.4570000000001</v>
      </c>
      <c r="D13" s="174">
        <v>1031.4580000000001</v>
      </c>
      <c r="E13" s="174">
        <v>1023.907</v>
      </c>
      <c r="F13" s="174">
        <v>1013.729</v>
      </c>
      <c r="G13" s="174">
        <v>1017.0359999999999</v>
      </c>
      <c r="H13" s="174">
        <v>1029.046</v>
      </c>
      <c r="I13" s="174">
        <v>1059.6030000000001</v>
      </c>
      <c r="J13" s="174">
        <v>1066.4670000000001</v>
      </c>
      <c r="K13" s="174">
        <v>1077.942</v>
      </c>
      <c r="L13" s="174">
        <v>1101.231</v>
      </c>
      <c r="M13" s="174">
        <v>1129.3399999999999</v>
      </c>
      <c r="N13" s="101"/>
      <c r="O13" s="103">
        <v>1.9778603085815184E-2</v>
      </c>
      <c r="P13" s="103">
        <v>3.6606430318161881E-2</v>
      </c>
    </row>
    <row r="14" spans="1:16">
      <c r="A14" s="90" t="s">
        <v>10</v>
      </c>
      <c r="B14" s="179">
        <v>6570.9219999999996</v>
      </c>
      <c r="C14" s="81">
        <v>6828.9880000000003</v>
      </c>
      <c r="D14" s="81">
        <v>7161.4089999999997</v>
      </c>
      <c r="E14" s="125">
        <v>7533.0990000000002</v>
      </c>
      <c r="F14" s="125">
        <v>7781.6120000000001</v>
      </c>
      <c r="G14" s="125">
        <v>8182.8540000000003</v>
      </c>
      <c r="H14" s="125">
        <v>8651.0550000000003</v>
      </c>
      <c r="I14" s="125">
        <v>9603.8269999999993</v>
      </c>
      <c r="J14" s="125">
        <v>10626.226000000001</v>
      </c>
      <c r="K14" s="125">
        <v>11272.769</v>
      </c>
      <c r="L14" s="125">
        <v>11476.657999999999</v>
      </c>
      <c r="M14" s="81">
        <v>11531.362999999999</v>
      </c>
      <c r="N14" s="96"/>
      <c r="O14" s="103">
        <v>-3.7789933149684846E-2</v>
      </c>
      <c r="P14" s="103">
        <v>-0.15558357317224245</v>
      </c>
    </row>
    <row r="15" spans="1:16">
      <c r="A15" s="90" t="s">
        <v>105</v>
      </c>
      <c r="B15" s="179">
        <v>14.951000000000001</v>
      </c>
      <c r="C15" s="81">
        <v>17.756</v>
      </c>
      <c r="D15" s="81">
        <v>17.785</v>
      </c>
      <c r="E15" s="81">
        <v>20.513000000000002</v>
      </c>
      <c r="F15" s="81">
        <v>20.783999999999999</v>
      </c>
      <c r="G15" s="81">
        <v>55.597000000000001</v>
      </c>
      <c r="H15" s="125">
        <v>48.591000000000001</v>
      </c>
      <c r="I15" s="125">
        <v>55.588000000000001</v>
      </c>
      <c r="J15" s="125">
        <v>71.317999999999998</v>
      </c>
      <c r="K15" s="125">
        <v>75.757000000000005</v>
      </c>
      <c r="L15" s="125">
        <v>91.316000000000003</v>
      </c>
      <c r="M15" s="81">
        <v>112.136</v>
      </c>
      <c r="N15" s="96"/>
      <c r="O15" s="103">
        <v>-0.15797476909213784</v>
      </c>
      <c r="P15" s="103">
        <v>-0.28064857582755959</v>
      </c>
    </row>
    <row r="16" spans="1:16">
      <c r="A16" s="90" t="s">
        <v>132</v>
      </c>
      <c r="B16" s="179">
        <v>318.88200000000001</v>
      </c>
      <c r="C16" s="81">
        <v>335.428</v>
      </c>
      <c r="D16" s="81">
        <v>381.55500000000001</v>
      </c>
      <c r="E16" s="81">
        <v>457.23</v>
      </c>
      <c r="F16" s="81">
        <v>506.37</v>
      </c>
      <c r="G16" s="81">
        <v>529.67399999999998</v>
      </c>
      <c r="H16" s="81">
        <v>569.20600000000002</v>
      </c>
      <c r="I16" s="81">
        <v>629.18899999999996</v>
      </c>
      <c r="J16" s="81">
        <v>631.78800000000001</v>
      </c>
      <c r="K16" s="81">
        <v>649.07799999999997</v>
      </c>
      <c r="L16" s="81">
        <v>1078.4190000000001</v>
      </c>
      <c r="M16" s="81">
        <v>1145.405</v>
      </c>
      <c r="N16" s="102"/>
      <c r="O16" s="103">
        <v>-4.9328022705319746E-2</v>
      </c>
      <c r="P16" s="103">
        <v>-0.37025890159369629</v>
      </c>
    </row>
    <row r="17" spans="1:16" ht="15.75" thickBot="1">
      <c r="A17" s="94" t="s">
        <v>133</v>
      </c>
      <c r="B17" s="180">
        <v>6904.7550000000001</v>
      </c>
      <c r="C17" s="110">
        <v>7182.1719999999996</v>
      </c>
      <c r="D17" s="110">
        <v>7560.7489999999998</v>
      </c>
      <c r="E17" s="110">
        <v>8010.8419999999996</v>
      </c>
      <c r="F17" s="110">
        <v>8308.7659999999996</v>
      </c>
      <c r="G17" s="110">
        <v>8768.125</v>
      </c>
      <c r="H17" s="147">
        <v>9268.8520000000008</v>
      </c>
      <c r="I17" s="147">
        <v>10288.603999999999</v>
      </c>
      <c r="J17" s="147">
        <v>11329.332</v>
      </c>
      <c r="K17" s="147">
        <v>11997.603999999999</v>
      </c>
      <c r="L17" s="147">
        <v>12646.393</v>
      </c>
      <c r="M17" s="110">
        <v>12788.904</v>
      </c>
      <c r="N17" s="96"/>
      <c r="O17" s="150">
        <v>-3.8625919847087999E-2</v>
      </c>
      <c r="P17" s="150">
        <v>-0.16897960539507309</v>
      </c>
    </row>
    <row r="18" spans="1:16" ht="15.75" thickTop="1">
      <c r="A18" s="90"/>
      <c r="B18" s="96"/>
      <c r="C18" s="199"/>
      <c r="D18" s="199"/>
      <c r="E18" s="199"/>
      <c r="F18" s="98"/>
      <c r="G18" s="98"/>
      <c r="H18" s="73"/>
      <c r="I18" s="73"/>
      <c r="J18" s="73"/>
      <c r="K18" s="73"/>
      <c r="L18" s="73"/>
      <c r="M18" s="98"/>
      <c r="N18" s="96"/>
      <c r="O18" s="96"/>
      <c r="P18" s="96"/>
    </row>
    <row r="19" spans="1:16">
      <c r="A19" s="21" t="s">
        <v>219</v>
      </c>
      <c r="B19" s="76"/>
      <c r="C19" s="200"/>
      <c r="D19" s="200"/>
      <c r="E19" s="200"/>
      <c r="F19" s="99"/>
      <c r="G19" s="99"/>
      <c r="H19" s="99"/>
      <c r="I19" s="99"/>
      <c r="J19" s="99"/>
      <c r="K19" s="99"/>
      <c r="L19" s="99"/>
      <c r="M19" s="99"/>
      <c r="N19" s="76"/>
      <c r="O19" s="76"/>
      <c r="P19" s="76"/>
    </row>
    <row r="20" spans="1:16">
      <c r="A20" s="38" t="s">
        <v>123</v>
      </c>
      <c r="B20" s="182">
        <v>0.65102024829923488</v>
      </c>
      <c r="C20" s="201">
        <v>0.67593868548244307</v>
      </c>
      <c r="D20" s="201">
        <v>0.67119183858193998</v>
      </c>
      <c r="E20" s="201">
        <v>0.60346811425156688</v>
      </c>
      <c r="F20" s="111">
        <v>0.59880532041090517</v>
      </c>
      <c r="G20" s="111">
        <v>0.60403926431399124</v>
      </c>
      <c r="H20" s="155">
        <v>0.58889856696756693</v>
      </c>
      <c r="I20" s="155">
        <v>0.52138902591030845</v>
      </c>
      <c r="J20" s="155">
        <v>0.50757878477796192</v>
      </c>
      <c r="K20" s="155">
        <v>0.42950389730515082</v>
      </c>
      <c r="L20" s="155">
        <v>0.43334263943353574</v>
      </c>
      <c r="M20" s="111">
        <v>0.42047493914917838</v>
      </c>
      <c r="N20" s="96"/>
      <c r="O20" s="103">
        <v>-2.4918437183208186E-2</v>
      </c>
      <c r="P20" s="103">
        <v>5.221492788832971E-2</v>
      </c>
    </row>
    <row r="21" spans="1:16">
      <c r="A21" s="38" t="s">
        <v>12</v>
      </c>
      <c r="B21" s="182">
        <v>0.60476494674639769</v>
      </c>
      <c r="C21" s="201">
        <v>0.61073803858251929</v>
      </c>
      <c r="D21" s="201">
        <v>0.59056514043520048</v>
      </c>
      <c r="E21" s="201">
        <v>0.48185898847816017</v>
      </c>
      <c r="F21" s="111">
        <v>0.47456056257632823</v>
      </c>
      <c r="G21" s="111">
        <v>0.44764609358935603</v>
      </c>
      <c r="H21" s="155">
        <v>0.43096805429686341</v>
      </c>
      <c r="I21" s="155">
        <v>0.40704703848095913</v>
      </c>
      <c r="J21" s="155">
        <v>0.39035250555401008</v>
      </c>
      <c r="K21" s="155">
        <v>0.32538483375681487</v>
      </c>
      <c r="L21" s="155">
        <v>0.31885518803247009</v>
      </c>
      <c r="M21" s="111">
        <v>0.31212674874740115</v>
      </c>
      <c r="N21" s="96"/>
      <c r="O21" s="103">
        <v>-5.9730918361216023E-3</v>
      </c>
      <c r="P21" s="103">
        <v>0.13020438417006946</v>
      </c>
    </row>
    <row r="22" spans="1:16">
      <c r="A22" s="38" t="s">
        <v>124</v>
      </c>
      <c r="B22" s="182">
        <v>0.42134509834368972</v>
      </c>
      <c r="C22" s="201">
        <v>0.4352513239490548</v>
      </c>
      <c r="D22" s="201">
        <v>0.42597988149564259</v>
      </c>
      <c r="E22" s="201">
        <v>0.33443004290291634</v>
      </c>
      <c r="F22" s="111">
        <v>0.35027156907506579</v>
      </c>
      <c r="G22" s="111">
        <v>0.33816739638276305</v>
      </c>
      <c r="H22" s="155">
        <v>0.34286397278536296</v>
      </c>
      <c r="I22" s="155">
        <v>0.34891536236130594</v>
      </c>
      <c r="J22" s="155">
        <v>0.30611225663208391</v>
      </c>
      <c r="K22" s="155">
        <v>0.25253019779241609</v>
      </c>
      <c r="L22" s="155">
        <v>0.24467234339080088</v>
      </c>
      <c r="M22" s="111">
        <v>0.26050325769490001</v>
      </c>
      <c r="N22" s="96"/>
      <c r="O22" s="103">
        <v>-1.3906225605365086E-2</v>
      </c>
      <c r="P22" s="103">
        <v>7.1073529268623925E-2</v>
      </c>
    </row>
    <row r="23" spans="1:16">
      <c r="A23" s="38" t="s">
        <v>125</v>
      </c>
      <c r="B23" s="182">
        <v>0.63954767528391632</v>
      </c>
      <c r="C23" s="201">
        <v>0.64396864692073519</v>
      </c>
      <c r="D23" s="201">
        <v>0.63493229971554832</v>
      </c>
      <c r="E23" s="201">
        <v>0.56833481947090903</v>
      </c>
      <c r="F23" s="111">
        <v>0.5869310239718899</v>
      </c>
      <c r="G23" s="111">
        <v>0.5753257505142394</v>
      </c>
      <c r="H23" s="155">
        <v>0.57900132744308808</v>
      </c>
      <c r="I23" s="155">
        <v>0.58098835129760862</v>
      </c>
      <c r="J23" s="155">
        <v>0.57448566153476854</v>
      </c>
      <c r="K23" s="155">
        <v>0.51403319772306866</v>
      </c>
      <c r="L23" s="155">
        <v>0.50556695189292711</v>
      </c>
      <c r="M23" s="111">
        <v>0.5174827775514903</v>
      </c>
      <c r="N23" s="96"/>
      <c r="O23" s="103">
        <v>-4.4209716368188712E-3</v>
      </c>
      <c r="P23" s="103">
        <v>5.2616651312026419E-2</v>
      </c>
    </row>
    <row r="24" spans="1:16">
      <c r="A24" s="19" t="s">
        <v>134</v>
      </c>
      <c r="B24" s="183">
        <v>0.59765046635015096</v>
      </c>
      <c r="C24" s="202">
        <v>0.61129804298967871</v>
      </c>
      <c r="D24" s="202">
        <v>0.60274954272266812</v>
      </c>
      <c r="E24" s="202">
        <v>0.52310197967662442</v>
      </c>
      <c r="F24" s="151">
        <v>0.52582061403215685</v>
      </c>
      <c r="G24" s="151">
        <v>0.51842743375355349</v>
      </c>
      <c r="H24" s="156">
        <v>0.50943023712136848</v>
      </c>
      <c r="I24" s="156">
        <v>0.47566194184880672</v>
      </c>
      <c r="J24" s="156">
        <v>0.46204964961219536</v>
      </c>
      <c r="K24" s="156">
        <v>0.39233722831187262</v>
      </c>
      <c r="L24" s="156">
        <v>0.3911818231404996</v>
      </c>
      <c r="M24" s="151">
        <v>0.38509151086476073</v>
      </c>
      <c r="N24" s="96"/>
      <c r="O24" s="149">
        <v>-1.3647576639527759E-2</v>
      </c>
      <c r="P24" s="149">
        <v>7.1829852317994103E-2</v>
      </c>
    </row>
    <row r="25" spans="1:16">
      <c r="A25" s="19" t="s">
        <v>135</v>
      </c>
      <c r="B25" s="183">
        <v>0.60889161157999971</v>
      </c>
      <c r="C25" s="202">
        <v>0.62233307277143335</v>
      </c>
      <c r="D25" s="202">
        <v>0.6134813165789712</v>
      </c>
      <c r="E25" s="202">
        <v>0.54100362262144708</v>
      </c>
      <c r="F25" s="151">
        <v>0.54387025411785705</v>
      </c>
      <c r="G25" s="151">
        <v>0.53632551644590543</v>
      </c>
      <c r="H25" s="156">
        <v>0.52592039376717459</v>
      </c>
      <c r="I25" s="156">
        <v>0.49333997041469624</v>
      </c>
      <c r="J25" s="156">
        <v>0.4806277344801867</v>
      </c>
      <c r="K25" s="156">
        <v>0.41112781691101707</v>
      </c>
      <c r="L25" s="156">
        <v>0.42549149196678199</v>
      </c>
      <c r="M25" s="151">
        <v>0.41863117923009818</v>
      </c>
      <c r="N25" s="96"/>
      <c r="O25" s="149">
        <v>-1.3441461191433635E-2</v>
      </c>
      <c r="P25" s="149">
        <v>6.5021357462142659E-2</v>
      </c>
    </row>
    <row r="26" spans="1:16">
      <c r="A26" s="24"/>
      <c r="B26" s="93"/>
      <c r="C26" s="98"/>
      <c r="D26" s="98"/>
      <c r="E26" s="98"/>
      <c r="F26" s="98"/>
      <c r="G26" s="98"/>
      <c r="H26" s="73"/>
      <c r="I26" s="73"/>
      <c r="J26" s="73"/>
      <c r="K26" s="73"/>
      <c r="L26" s="73"/>
      <c r="M26" s="98"/>
      <c r="N26" s="96"/>
      <c r="O26" s="96"/>
      <c r="P26" s="96"/>
    </row>
    <row r="27" spans="1:16">
      <c r="A27" s="21" t="s">
        <v>136</v>
      </c>
      <c r="B27" s="80"/>
      <c r="C27" s="99"/>
      <c r="D27" s="99"/>
      <c r="E27" s="99"/>
      <c r="F27" s="99"/>
      <c r="G27" s="99"/>
      <c r="H27" s="99"/>
      <c r="I27" s="99"/>
      <c r="J27" s="99"/>
      <c r="K27" s="99"/>
      <c r="L27" s="99"/>
      <c r="M27" s="99"/>
      <c r="N27" s="76"/>
      <c r="O27" s="76"/>
      <c r="P27" s="76"/>
    </row>
    <row r="28" spans="1:16">
      <c r="A28" s="104" t="s">
        <v>123</v>
      </c>
      <c r="B28" s="182">
        <v>0.62714261978420038</v>
      </c>
      <c r="C28" s="201">
        <v>0.59615484590376377</v>
      </c>
      <c r="D28" s="201">
        <v>0.59061879038267018</v>
      </c>
      <c r="E28" s="201">
        <v>0.600994409211835</v>
      </c>
      <c r="F28" s="111">
        <v>0.60927739009372184</v>
      </c>
      <c r="G28" s="111">
        <v>0.60725425970385072</v>
      </c>
      <c r="H28" s="111">
        <v>0.60024247647820805</v>
      </c>
      <c r="I28" s="111">
        <v>0.65147394383005808</v>
      </c>
      <c r="J28" s="111">
        <v>0.68261606062671842</v>
      </c>
      <c r="K28" s="111">
        <v>0.72144494390970648</v>
      </c>
      <c r="L28" s="111">
        <v>0.69107729933963225</v>
      </c>
      <c r="M28" s="111">
        <v>0.71190690127029876</v>
      </c>
      <c r="N28" s="105"/>
      <c r="O28" s="103">
        <v>3.0987773880436609E-2</v>
      </c>
      <c r="P28" s="103">
        <v>1.7865229690478546E-2</v>
      </c>
    </row>
    <row r="29" spans="1:16">
      <c r="A29" s="104" t="s">
        <v>12</v>
      </c>
      <c r="B29" s="182">
        <v>0.69136425010974456</v>
      </c>
      <c r="C29" s="201">
        <v>0.67277726209445365</v>
      </c>
      <c r="D29" s="201">
        <v>0.67807796018209132</v>
      </c>
      <c r="E29" s="201">
        <v>0.66871393142295998</v>
      </c>
      <c r="F29" s="111">
        <v>0.67348808257501958</v>
      </c>
      <c r="G29" s="111">
        <v>0.6916737734020495</v>
      </c>
      <c r="H29" s="111">
        <v>0.70489475877376417</v>
      </c>
      <c r="I29" s="111">
        <v>0.71605907772519639</v>
      </c>
      <c r="J29" s="111">
        <v>0.72977665140349601</v>
      </c>
      <c r="K29" s="111">
        <v>0.75354506534581778</v>
      </c>
      <c r="L29" s="111">
        <v>0.74747552505540715</v>
      </c>
      <c r="M29" s="111">
        <v>0.7569062880297639</v>
      </c>
      <c r="N29" s="105"/>
      <c r="O29" s="103">
        <v>1.8586988015290906E-2</v>
      </c>
      <c r="P29" s="103">
        <v>1.7876167534724985E-2</v>
      </c>
    </row>
    <row r="30" spans="1:16">
      <c r="A30" s="104" t="s">
        <v>124</v>
      </c>
      <c r="B30" s="182">
        <v>0.8021974927968889</v>
      </c>
      <c r="C30" s="201">
        <v>0.79698154275745325</v>
      </c>
      <c r="D30" s="201">
        <v>0.79330001934304761</v>
      </c>
      <c r="E30" s="201">
        <v>0.78755815426947373</v>
      </c>
      <c r="F30" s="111">
        <v>0.78186973053243536</v>
      </c>
      <c r="G30" s="111">
        <v>0.78376191910435922</v>
      </c>
      <c r="H30" s="111">
        <v>0.78590263411943184</v>
      </c>
      <c r="I30" s="111">
        <v>0.79099190512235462</v>
      </c>
      <c r="J30" s="111">
        <v>0.7935311792311569</v>
      </c>
      <c r="K30" s="111">
        <v>0.80771691269848944</v>
      </c>
      <c r="L30" s="111">
        <v>0.80148925835146756</v>
      </c>
      <c r="M30" s="111">
        <v>0.80766522364586857</v>
      </c>
      <c r="N30" s="105"/>
      <c r="O30" s="103">
        <v>5.2159500394356462E-3</v>
      </c>
      <c r="P30" s="103">
        <v>2.0327762264453542E-2</v>
      </c>
    </row>
    <row r="31" spans="1:16">
      <c r="A31" s="104" t="s">
        <v>125</v>
      </c>
      <c r="B31" s="182">
        <v>0.51228543314954356</v>
      </c>
      <c r="C31" s="201">
        <v>0.49267169809123523</v>
      </c>
      <c r="D31" s="201">
        <v>0.4963856986905914</v>
      </c>
      <c r="E31" s="201">
        <v>0.49396185395743947</v>
      </c>
      <c r="F31" s="111">
        <v>0.48120848865919785</v>
      </c>
      <c r="G31" s="111">
        <v>0.48777034441258715</v>
      </c>
      <c r="H31" s="111">
        <v>0.48511533983903538</v>
      </c>
      <c r="I31" s="111">
        <v>0.49022983136136838</v>
      </c>
      <c r="J31" s="111">
        <v>0.49073904771549426</v>
      </c>
      <c r="K31" s="111">
        <v>0.52848549463700278</v>
      </c>
      <c r="L31" s="111">
        <v>0.51571182078964362</v>
      </c>
      <c r="M31" s="111">
        <v>0.5247303734924823</v>
      </c>
      <c r="N31" s="96"/>
      <c r="O31" s="103">
        <v>1.9613735058308324E-2</v>
      </c>
      <c r="P31" s="103">
        <v>3.1076944490345704E-2</v>
      </c>
    </row>
    <row r="32" spans="1:16">
      <c r="A32" s="19" t="s">
        <v>137</v>
      </c>
      <c r="B32" s="183">
        <v>0.65467139233602112</v>
      </c>
      <c r="C32" s="202">
        <v>0.63690681547544092</v>
      </c>
      <c r="D32" s="202">
        <v>0.63543165876994323</v>
      </c>
      <c r="E32" s="202">
        <v>0.63392940939711528</v>
      </c>
      <c r="F32" s="151">
        <v>0.63561444595284367</v>
      </c>
      <c r="G32" s="151">
        <v>0.64108060586196458</v>
      </c>
      <c r="H32" s="151">
        <v>0.64127207606471115</v>
      </c>
      <c r="I32" s="151">
        <v>0.66807346696270142</v>
      </c>
      <c r="J32" s="151">
        <v>0.68748321370164722</v>
      </c>
      <c r="K32" s="151">
        <v>0.72014217122252744</v>
      </c>
      <c r="L32" s="151">
        <v>0.70019395195099476</v>
      </c>
      <c r="M32" s="151">
        <v>0.71524970638770113</v>
      </c>
      <c r="N32" s="96"/>
      <c r="O32" s="149">
        <v>1.7764576860580195E-2</v>
      </c>
      <c r="P32" s="149">
        <v>1.9056946383177453E-2</v>
      </c>
    </row>
    <row r="33" spans="1:16">
      <c r="A33" s="24"/>
      <c r="B33" s="93"/>
      <c r="C33" s="98"/>
      <c r="D33" s="98"/>
      <c r="E33" s="98"/>
      <c r="F33" s="98"/>
      <c r="G33" s="98"/>
      <c r="H33" s="73"/>
      <c r="I33" s="73"/>
      <c r="J33" s="73"/>
      <c r="K33" s="73"/>
      <c r="L33" s="73"/>
      <c r="M33" s="98"/>
      <c r="N33" s="96"/>
      <c r="O33" s="96"/>
      <c r="P33" s="96"/>
    </row>
    <row r="34" spans="1:16">
      <c r="A34" s="21" t="s">
        <v>220</v>
      </c>
      <c r="B34" s="80"/>
      <c r="C34" s="99"/>
      <c r="D34" s="99"/>
      <c r="E34" s="99"/>
      <c r="F34" s="99"/>
      <c r="G34" s="99"/>
      <c r="H34" s="99"/>
      <c r="I34" s="99"/>
      <c r="J34" s="99"/>
      <c r="K34" s="99"/>
      <c r="L34" s="99"/>
      <c r="M34" s="99"/>
      <c r="N34" s="76"/>
      <c r="O34" s="76"/>
      <c r="P34" s="76"/>
    </row>
    <row r="35" spans="1:16">
      <c r="A35" s="38" t="s">
        <v>123</v>
      </c>
      <c r="B35" s="182">
        <v>1.2781628680834354</v>
      </c>
      <c r="C35" s="201">
        <v>1.272093531386207</v>
      </c>
      <c r="D35" s="201">
        <v>1.2618106289646103</v>
      </c>
      <c r="E35" s="201">
        <v>1.2044625234634019</v>
      </c>
      <c r="F35" s="111">
        <v>1.208082710504627</v>
      </c>
      <c r="G35" s="111">
        <v>1.211293524017842</v>
      </c>
      <c r="H35" s="111">
        <v>1.189141043445775</v>
      </c>
      <c r="I35" s="111">
        <v>1.1728629697403665</v>
      </c>
      <c r="J35" s="111">
        <v>1.1901948454046805</v>
      </c>
      <c r="K35" s="111">
        <v>1.1509488412148574</v>
      </c>
      <c r="L35" s="111">
        <v>1.1244199387731679</v>
      </c>
      <c r="M35" s="111">
        <v>1.1323818404194772</v>
      </c>
      <c r="N35" s="96"/>
      <c r="O35" s="103">
        <v>6.0693366972284224E-3</v>
      </c>
      <c r="P35" s="103">
        <v>7.0080157578808366E-2</v>
      </c>
    </row>
    <row r="36" spans="1:16">
      <c r="A36" s="38" t="s">
        <v>12</v>
      </c>
      <c r="B36" s="182">
        <v>1.2961291968561421</v>
      </c>
      <c r="C36" s="201">
        <v>1.2835153006769731</v>
      </c>
      <c r="D36" s="201">
        <v>1.2686431006172918</v>
      </c>
      <c r="E36" s="201">
        <v>1.1505729199011201</v>
      </c>
      <c r="F36" s="111">
        <v>1.1480486451513479</v>
      </c>
      <c r="G36" s="111">
        <v>1.1393198669914055</v>
      </c>
      <c r="H36" s="111">
        <v>1.1358628130706276</v>
      </c>
      <c r="I36" s="111">
        <v>1.1231061162061555</v>
      </c>
      <c r="J36" s="111">
        <v>1.120129156957506</v>
      </c>
      <c r="K36" s="111">
        <v>1.0789298991026326</v>
      </c>
      <c r="L36" s="111">
        <v>1.0663307130878772</v>
      </c>
      <c r="M36" s="111">
        <v>1.069033036777165</v>
      </c>
      <c r="N36" s="96"/>
      <c r="O36" s="103">
        <v>1.2613896179169082E-2</v>
      </c>
      <c r="P36" s="103">
        <v>0.14808055170479428</v>
      </c>
    </row>
    <row r="37" spans="1:16">
      <c r="A37" s="38" t="s">
        <v>124</v>
      </c>
      <c r="B37" s="182">
        <v>1.2235425911405786</v>
      </c>
      <c r="C37" s="201">
        <v>1.2322328667065081</v>
      </c>
      <c r="D37" s="201">
        <v>1.2192799008386901</v>
      </c>
      <c r="E37" s="201">
        <v>1.12198819717239</v>
      </c>
      <c r="F37" s="111">
        <v>1.1321412996075011</v>
      </c>
      <c r="G37" s="111">
        <v>1.1219293154871224</v>
      </c>
      <c r="H37" s="111">
        <v>1.1287666069047948</v>
      </c>
      <c r="I37" s="111">
        <v>1.1399072674836606</v>
      </c>
      <c r="J37" s="111">
        <v>1.0996434358632408</v>
      </c>
      <c r="K37" s="111">
        <v>1.0602471104909055</v>
      </c>
      <c r="L37" s="111">
        <v>1.0461616017422684</v>
      </c>
      <c r="M37" s="111">
        <v>1.0681684813407686</v>
      </c>
      <c r="N37" s="96"/>
      <c r="O37" s="103">
        <v>-8.690275565929495E-3</v>
      </c>
      <c r="P37" s="103">
        <v>9.1401291533077522E-2</v>
      </c>
    </row>
    <row r="38" spans="1:16">
      <c r="A38" s="38" t="s">
        <v>125</v>
      </c>
      <c r="B38" s="182">
        <v>1.1518331084334599</v>
      </c>
      <c r="C38" s="201">
        <v>1.1366403450119704</v>
      </c>
      <c r="D38" s="201">
        <v>1.1313179984061397</v>
      </c>
      <c r="E38" s="201">
        <v>1.0622966734283485</v>
      </c>
      <c r="F38" s="111">
        <v>1.0681395126310878</v>
      </c>
      <c r="G38" s="111">
        <v>1.0630960949268267</v>
      </c>
      <c r="H38" s="111">
        <v>1.0641166672821234</v>
      </c>
      <c r="I38" s="111">
        <v>1.0712181826589771</v>
      </c>
      <c r="J38" s="111">
        <v>1.0652247092502627</v>
      </c>
      <c r="K38" s="111">
        <v>1.0425186923600713</v>
      </c>
      <c r="L38" s="111">
        <v>1.0212787726825707</v>
      </c>
      <c r="M38" s="111">
        <v>1.0422131510439727</v>
      </c>
      <c r="N38" s="96"/>
      <c r="O38" s="103">
        <v>1.5192763421489452E-2</v>
      </c>
      <c r="P38" s="103">
        <v>8.3693595802372123E-2</v>
      </c>
    </row>
    <row r="39" spans="1:16">
      <c r="A39" s="19" t="s">
        <v>138</v>
      </c>
      <c r="B39" s="183">
        <v>1.2523218586861722</v>
      </c>
      <c r="C39" s="202">
        <v>1.2482048584651197</v>
      </c>
      <c r="D39" s="202">
        <v>1.2381812014926115</v>
      </c>
      <c r="E39" s="202">
        <v>1.1570313890737398</v>
      </c>
      <c r="F39" s="151">
        <v>1.1614350599850005</v>
      </c>
      <c r="G39" s="151">
        <v>1.1595080396155182</v>
      </c>
      <c r="H39" s="151">
        <v>1.1507023131860796</v>
      </c>
      <c r="I39" s="151">
        <v>1.1437354088115081</v>
      </c>
      <c r="J39" s="151">
        <v>1.1495328633138426</v>
      </c>
      <c r="K39" s="151">
        <v>1.1124793995344</v>
      </c>
      <c r="L39" s="151">
        <v>1.0913757750914943</v>
      </c>
      <c r="M39" s="151">
        <v>1.1003412172524618</v>
      </c>
      <c r="N39" s="96"/>
      <c r="O39" s="149">
        <v>4.1170002210524359E-3</v>
      </c>
      <c r="P39" s="149">
        <v>9.0886798701171667E-2</v>
      </c>
    </row>
    <row r="40" spans="1:16">
      <c r="A40" s="90"/>
      <c r="B40" s="93"/>
      <c r="C40" s="98"/>
      <c r="D40" s="98"/>
      <c r="E40" s="98"/>
      <c r="F40" s="98"/>
      <c r="G40" s="98"/>
      <c r="H40" s="73"/>
      <c r="I40" s="73"/>
      <c r="J40" s="73"/>
      <c r="K40" s="73"/>
      <c r="L40" s="73"/>
      <c r="M40" s="98"/>
      <c r="N40" s="96"/>
      <c r="O40" s="96"/>
      <c r="P40" s="96"/>
    </row>
    <row r="41" spans="1:16">
      <c r="A41" s="21" t="s">
        <v>139</v>
      </c>
      <c r="B41" s="80"/>
      <c r="C41" s="99"/>
      <c r="D41" s="99"/>
      <c r="E41" s="99"/>
      <c r="F41" s="99"/>
      <c r="G41" s="99"/>
      <c r="H41" s="99"/>
      <c r="I41" s="99"/>
      <c r="J41" s="99"/>
      <c r="K41" s="99"/>
      <c r="L41" s="99"/>
      <c r="M41" s="99"/>
      <c r="N41" s="76"/>
      <c r="O41" s="76"/>
      <c r="P41" s="76"/>
    </row>
    <row r="42" spans="1:16">
      <c r="A42" s="106" t="s">
        <v>140</v>
      </c>
      <c r="B42" s="107"/>
      <c r="C42" s="112"/>
      <c r="D42" s="112"/>
      <c r="E42" s="112"/>
      <c r="F42" s="112"/>
      <c r="G42" s="112"/>
      <c r="H42" s="112"/>
      <c r="I42" s="112"/>
      <c r="J42" s="112"/>
      <c r="K42" s="112"/>
      <c r="L42" s="112"/>
      <c r="M42" s="112"/>
      <c r="N42" s="105"/>
      <c r="O42" s="105"/>
      <c r="P42" s="105"/>
    </row>
    <row r="43" spans="1:16">
      <c r="A43" s="108" t="s">
        <v>141</v>
      </c>
      <c r="B43" s="179">
        <v>438.53800000000001</v>
      </c>
      <c r="C43" s="81">
        <v>520.23400000000004</v>
      </c>
      <c r="D43" s="81">
        <v>467.40100000000001</v>
      </c>
      <c r="E43" s="81">
        <v>453.88099999999997</v>
      </c>
      <c r="F43" s="46">
        <v>455.39400000000001</v>
      </c>
      <c r="G43" s="46">
        <v>587.149</v>
      </c>
      <c r="H43" s="74">
        <v>573.88</v>
      </c>
      <c r="I43" s="74">
        <v>623.36500000000001</v>
      </c>
      <c r="J43" s="74">
        <v>468.791</v>
      </c>
      <c r="K43" s="74">
        <v>584.91399999999999</v>
      </c>
      <c r="L43" s="74">
        <v>668.40899999999999</v>
      </c>
      <c r="M43" s="46">
        <v>662.76199999999994</v>
      </c>
      <c r="N43" s="96"/>
      <c r="O43" s="103">
        <v>-0.15703702564615157</v>
      </c>
      <c r="P43" s="103">
        <v>-3.7014102074247782E-2</v>
      </c>
    </row>
    <row r="44" spans="1:16">
      <c r="A44" s="108" t="s">
        <v>142</v>
      </c>
      <c r="B44" s="179">
        <v>261.45299999999997</v>
      </c>
      <c r="C44" s="81">
        <v>308.54000000000002</v>
      </c>
      <c r="D44" s="81">
        <v>322.18599999999998</v>
      </c>
      <c r="E44" s="81">
        <v>419.70699999999999</v>
      </c>
      <c r="F44" s="46">
        <v>375.161</v>
      </c>
      <c r="G44" s="46">
        <v>344.09199999999998</v>
      </c>
      <c r="H44" s="74">
        <v>361.30900000000003</v>
      </c>
      <c r="I44" s="74">
        <v>385.93599999999998</v>
      </c>
      <c r="J44" s="74">
        <v>351.45</v>
      </c>
      <c r="K44" s="74">
        <v>354.89800000000002</v>
      </c>
      <c r="L44" s="74">
        <v>433.88299999999998</v>
      </c>
      <c r="M44" s="46">
        <v>595.529</v>
      </c>
      <c r="N44" s="96"/>
      <c r="O44" s="103">
        <v>-0.15261554417579576</v>
      </c>
      <c r="P44" s="103">
        <v>-0.30309387169775109</v>
      </c>
    </row>
    <row r="45" spans="1:16">
      <c r="A45" s="108" t="s">
        <v>143</v>
      </c>
      <c r="B45" s="179">
        <v>124.48399999999999</v>
      </c>
      <c r="C45" s="81">
        <v>165.51900000000001</v>
      </c>
      <c r="D45" s="81">
        <v>216.78899999999999</v>
      </c>
      <c r="E45" s="81">
        <v>173.46100000000001</v>
      </c>
      <c r="F45" s="46">
        <v>128.67500000000001</v>
      </c>
      <c r="G45" s="46">
        <v>145.994</v>
      </c>
      <c r="H45" s="74">
        <v>120.708</v>
      </c>
      <c r="I45" s="74">
        <v>133.10300000000001</v>
      </c>
      <c r="J45" s="74">
        <v>144.36199999999999</v>
      </c>
      <c r="K45" s="74">
        <v>199.66399999999999</v>
      </c>
      <c r="L45" s="74">
        <v>227.78200000000001</v>
      </c>
      <c r="M45" s="46">
        <v>344.08499999999998</v>
      </c>
      <c r="N45" s="96"/>
      <c r="O45" s="103">
        <v>-0.2479171575468678</v>
      </c>
      <c r="P45" s="103">
        <v>-3.2570429376335856E-2</v>
      </c>
    </row>
    <row r="46" spans="1:16">
      <c r="A46" s="108" t="s">
        <v>144</v>
      </c>
      <c r="B46" s="179">
        <v>252.03399999999999</v>
      </c>
      <c r="C46" s="81">
        <v>263.96899999999999</v>
      </c>
      <c r="D46" s="81">
        <v>201.12899999999999</v>
      </c>
      <c r="E46" s="81">
        <v>164.404</v>
      </c>
      <c r="F46" s="46">
        <v>140.714</v>
      </c>
      <c r="G46" s="46">
        <v>144.279</v>
      </c>
      <c r="H46" s="74">
        <v>175.28100000000001</v>
      </c>
      <c r="I46" s="74">
        <v>183.49199999999999</v>
      </c>
      <c r="J46" s="74">
        <v>258.92</v>
      </c>
      <c r="K46" s="74">
        <v>373.596</v>
      </c>
      <c r="L46" s="74">
        <v>528.56700000000001</v>
      </c>
      <c r="M46" s="46">
        <v>758.07100000000003</v>
      </c>
      <c r="N46" s="96"/>
      <c r="O46" s="103">
        <v>-4.5213642511052442E-2</v>
      </c>
      <c r="P46" s="103">
        <v>0.79110820529584824</v>
      </c>
    </row>
    <row r="47" spans="1:16">
      <c r="A47" s="108" t="s">
        <v>145</v>
      </c>
      <c r="B47" s="179">
        <v>1008.1849999999999</v>
      </c>
      <c r="C47" s="81">
        <v>967.779</v>
      </c>
      <c r="D47" s="81">
        <v>1002.057</v>
      </c>
      <c r="E47" s="81">
        <v>1071.46</v>
      </c>
      <c r="F47" s="46">
        <v>1138.183</v>
      </c>
      <c r="G47" s="46">
        <v>1266.674</v>
      </c>
      <c r="H47" s="74">
        <v>1376.0440000000001</v>
      </c>
      <c r="I47" s="74">
        <v>1575.3979999999999</v>
      </c>
      <c r="J47" s="74">
        <v>1825.4059999999999</v>
      </c>
      <c r="K47" s="74">
        <v>2097.4079999999999</v>
      </c>
      <c r="L47" s="74">
        <v>2245.9899999999998</v>
      </c>
      <c r="M47" s="46">
        <v>2266.5259999999998</v>
      </c>
      <c r="N47" s="96"/>
      <c r="O47" s="103">
        <v>4.1752300886876072E-2</v>
      </c>
      <c r="P47" s="103">
        <v>-0.11421449802008987</v>
      </c>
    </row>
    <row r="48" spans="1:16" ht="15.75" thickBot="1">
      <c r="A48" s="92" t="s">
        <v>146</v>
      </c>
      <c r="B48" s="180">
        <v>2084.694</v>
      </c>
      <c r="C48" s="110">
        <v>2226.0410000000002</v>
      </c>
      <c r="D48" s="110">
        <v>2209.5619999999999</v>
      </c>
      <c r="E48" s="110">
        <v>2282.913</v>
      </c>
      <c r="F48" s="72">
        <v>2238.127</v>
      </c>
      <c r="G48" s="72">
        <v>2488.1880000000001</v>
      </c>
      <c r="H48" s="97">
        <v>2607.2220000000002</v>
      </c>
      <c r="I48" s="97">
        <v>2901.2939999999999</v>
      </c>
      <c r="J48" s="97">
        <v>3048.9290000000001</v>
      </c>
      <c r="K48" s="97">
        <v>3610.48</v>
      </c>
      <c r="L48" s="97">
        <v>4104.6310000000003</v>
      </c>
      <c r="M48" s="72">
        <v>4626.973</v>
      </c>
      <c r="N48" s="96"/>
      <c r="O48" s="150">
        <v>-6.3497033522742927E-2</v>
      </c>
      <c r="P48" s="150">
        <v>-6.8554197326603894E-2</v>
      </c>
    </row>
    <row r="49" spans="1:16" ht="15.75" thickTop="1">
      <c r="A49" s="108"/>
      <c r="B49" s="93"/>
      <c r="C49" s="98"/>
      <c r="D49" s="98"/>
      <c r="E49" s="98"/>
      <c r="F49" s="98"/>
      <c r="G49" s="98"/>
      <c r="H49" s="73"/>
      <c r="I49" s="73"/>
      <c r="J49" s="73"/>
      <c r="K49" s="73"/>
      <c r="L49" s="73"/>
      <c r="M49" s="98"/>
      <c r="N49" s="96"/>
      <c r="O49" s="96"/>
      <c r="P49" s="96"/>
    </row>
    <row r="50" spans="1:16">
      <c r="A50" s="106" t="s">
        <v>147</v>
      </c>
      <c r="B50" s="78"/>
      <c r="C50" s="84"/>
      <c r="D50" s="84"/>
      <c r="E50" s="84"/>
      <c r="F50" s="84"/>
      <c r="G50" s="84"/>
      <c r="H50" s="84"/>
      <c r="I50" s="84"/>
      <c r="J50" s="84"/>
      <c r="K50" s="84"/>
      <c r="L50" s="84"/>
      <c r="M50" s="84"/>
      <c r="N50" s="109"/>
      <c r="O50" s="109"/>
      <c r="P50" s="109"/>
    </row>
    <row r="51" spans="1:16">
      <c r="A51" s="108" t="s">
        <v>148</v>
      </c>
      <c r="B51" s="179">
        <v>401.93299999999999</v>
      </c>
      <c r="C51" s="81">
        <v>342.02199999999999</v>
      </c>
      <c r="D51" s="81">
        <v>408.46499999999997</v>
      </c>
      <c r="E51" s="81">
        <v>379.01499999999999</v>
      </c>
      <c r="F51" s="46">
        <v>471.85500000000002</v>
      </c>
      <c r="G51" s="46">
        <v>514.18799999999999</v>
      </c>
      <c r="H51" s="74">
        <v>647.495</v>
      </c>
      <c r="I51" s="74">
        <v>859.97400000000005</v>
      </c>
      <c r="J51" s="74">
        <v>875.48800000000006</v>
      </c>
      <c r="K51" s="74">
        <v>847.96</v>
      </c>
      <c r="L51" s="74">
        <v>968.99199999999996</v>
      </c>
      <c r="M51" s="46">
        <v>1006.215</v>
      </c>
      <c r="N51" s="96"/>
      <c r="O51" s="103">
        <v>0.17516709451438797</v>
      </c>
      <c r="P51" s="103">
        <v>-0.14818535355140885</v>
      </c>
    </row>
    <row r="52" spans="1:16">
      <c r="A52" s="108" t="s">
        <v>149</v>
      </c>
      <c r="B52" s="179">
        <v>141.32900000000001</v>
      </c>
      <c r="C52" s="81">
        <v>17.917999999999999</v>
      </c>
      <c r="D52" s="81">
        <v>15.236000000000001</v>
      </c>
      <c r="E52" s="81">
        <v>17.861999999999998</v>
      </c>
      <c r="F52" s="46">
        <v>62.119</v>
      </c>
      <c r="G52" s="46">
        <v>22.286000000000001</v>
      </c>
      <c r="H52" s="74">
        <v>25.425999999999998</v>
      </c>
      <c r="I52" s="74">
        <v>35.561999999999998</v>
      </c>
      <c r="J52" s="74">
        <v>78.176000000000002</v>
      </c>
      <c r="K52" s="74">
        <v>65.832999999999998</v>
      </c>
      <c r="L52" s="74">
        <v>91.459000000000003</v>
      </c>
      <c r="M52" s="46">
        <v>67.72</v>
      </c>
      <c r="N52" s="96"/>
      <c r="O52" s="103">
        <v>6.8875432525951563</v>
      </c>
      <c r="P52" s="103">
        <v>1.2751332120607224</v>
      </c>
    </row>
    <row r="53" spans="1:16">
      <c r="A53" s="108" t="s">
        <v>150</v>
      </c>
      <c r="B53" s="179">
        <v>20.88</v>
      </c>
      <c r="C53" s="81">
        <v>25.157</v>
      </c>
      <c r="D53" s="81">
        <v>13.842000000000001</v>
      </c>
      <c r="E53" s="81">
        <v>50.377000000000002</v>
      </c>
      <c r="F53" s="46">
        <v>29.201000000000001</v>
      </c>
      <c r="G53" s="46">
        <v>52.006</v>
      </c>
      <c r="H53" s="74">
        <v>40.567</v>
      </c>
      <c r="I53" s="74">
        <v>57.186</v>
      </c>
      <c r="J53" s="74">
        <v>24.353000000000002</v>
      </c>
      <c r="K53" s="74">
        <v>60.02</v>
      </c>
      <c r="L53" s="74">
        <v>120.63200000000001</v>
      </c>
      <c r="M53" s="46">
        <v>274.69799999999998</v>
      </c>
      <c r="N53" s="96"/>
      <c r="O53" s="103">
        <v>-0.17001232261398422</v>
      </c>
      <c r="P53" s="103">
        <v>-0.28495599465771726</v>
      </c>
    </row>
    <row r="54" spans="1:16">
      <c r="A54" s="108" t="s">
        <v>143</v>
      </c>
      <c r="B54" s="179">
        <v>26.34</v>
      </c>
      <c r="C54" s="81">
        <v>12.923</v>
      </c>
      <c r="D54" s="81">
        <v>50.652999999999999</v>
      </c>
      <c r="E54" s="81">
        <v>41.658000000000001</v>
      </c>
      <c r="F54" s="46">
        <v>49.572000000000003</v>
      </c>
      <c r="G54" s="46">
        <v>14.519</v>
      </c>
      <c r="H54" s="74">
        <v>95.105999999999995</v>
      </c>
      <c r="I54" s="74">
        <v>48.63</v>
      </c>
      <c r="J54" s="74">
        <v>65.382000000000005</v>
      </c>
      <c r="K54" s="74">
        <v>152.261</v>
      </c>
      <c r="L54" s="74">
        <v>167.607</v>
      </c>
      <c r="M54" s="46">
        <v>181.00700000000001</v>
      </c>
      <c r="N54" s="96"/>
      <c r="O54" s="103">
        <v>1.038226418014393</v>
      </c>
      <c r="P54" s="103">
        <v>-0.4686516581941419</v>
      </c>
    </row>
    <row r="55" spans="1:16">
      <c r="A55" s="108" t="s">
        <v>144</v>
      </c>
      <c r="B55" s="179">
        <v>73.072999999999993</v>
      </c>
      <c r="C55" s="81">
        <v>96.543999999999997</v>
      </c>
      <c r="D55" s="81">
        <v>91.233000000000004</v>
      </c>
      <c r="E55" s="81">
        <v>81.748999999999995</v>
      </c>
      <c r="F55" s="46">
        <v>51.438000000000002</v>
      </c>
      <c r="G55" s="46">
        <v>106.01600000000001</v>
      </c>
      <c r="H55" s="74">
        <v>122.71299999999999</v>
      </c>
      <c r="I55" s="74">
        <v>157.381</v>
      </c>
      <c r="J55" s="74">
        <v>310.16699999999997</v>
      </c>
      <c r="K55" s="74">
        <v>464.041</v>
      </c>
      <c r="L55" s="74">
        <v>488.75799999999998</v>
      </c>
      <c r="M55" s="46">
        <v>445.37099999999998</v>
      </c>
      <c r="N55" s="96"/>
      <c r="O55" s="103">
        <v>-0.24311194895591651</v>
      </c>
      <c r="P55" s="103">
        <v>0.42060344492398594</v>
      </c>
    </row>
    <row r="56" spans="1:16">
      <c r="A56" s="108" t="s">
        <v>145</v>
      </c>
      <c r="B56" s="179">
        <v>4856.4970000000003</v>
      </c>
      <c r="C56" s="81">
        <v>5290.3410000000003</v>
      </c>
      <c r="D56" s="81">
        <v>5561.3459999999995</v>
      </c>
      <c r="E56" s="81">
        <v>6030.8559999999998</v>
      </c>
      <c r="F56" s="46">
        <v>6237.01</v>
      </c>
      <c r="G56" s="46">
        <v>6502.1639999999998</v>
      </c>
      <c r="H56" s="74">
        <v>6665.5140000000001</v>
      </c>
      <c r="I56" s="74">
        <v>7237.8779999999997</v>
      </c>
      <c r="J56" s="74">
        <v>7747.0770000000002</v>
      </c>
      <c r="K56" s="74">
        <v>7736.8209999999999</v>
      </c>
      <c r="L56" s="74">
        <v>7806.607</v>
      </c>
      <c r="M56" s="46">
        <v>7445.2120000000004</v>
      </c>
      <c r="N56" s="96"/>
      <c r="O56" s="103">
        <v>-8.2006812037258098E-2</v>
      </c>
      <c r="P56" s="103">
        <v>-0.22134211745692245</v>
      </c>
    </row>
    <row r="57" spans="1:16" ht="15.75" thickBot="1">
      <c r="A57" s="92" t="s">
        <v>151</v>
      </c>
      <c r="B57" s="180">
        <v>5520.0519999999997</v>
      </c>
      <c r="C57" s="110">
        <v>5784.9049999999997</v>
      </c>
      <c r="D57" s="110">
        <v>6140.7749999999996</v>
      </c>
      <c r="E57" s="110">
        <v>6601.5169999999998</v>
      </c>
      <c r="F57" s="72">
        <v>6901.1949999999997</v>
      </c>
      <c r="G57" s="72">
        <v>7211.1790000000001</v>
      </c>
      <c r="H57" s="97">
        <v>7596.8209999999999</v>
      </c>
      <c r="I57" s="97">
        <v>8396.6110000000008</v>
      </c>
      <c r="J57" s="97">
        <v>9100.643</v>
      </c>
      <c r="K57" s="97">
        <v>9326.9359999999997</v>
      </c>
      <c r="L57" s="97">
        <v>9644.0550000000003</v>
      </c>
      <c r="M57" s="72">
        <v>9420.223</v>
      </c>
      <c r="N57" s="96"/>
      <c r="O57" s="150">
        <v>-4.5783465761321938E-2</v>
      </c>
      <c r="P57" s="150">
        <v>-0.20013099180649149</v>
      </c>
    </row>
    <row r="58" spans="1:16" ht="15.75" thickTop="1"/>
    <row r="59" spans="1:16" ht="24.75" customHeight="1">
      <c r="A59" s="329" t="s">
        <v>573</v>
      </c>
      <c r="B59" s="329"/>
      <c r="C59" s="329"/>
      <c r="D59" s="329"/>
      <c r="E59" s="329"/>
      <c r="F59" s="329"/>
      <c r="G59" s="329"/>
      <c r="H59" s="329"/>
      <c r="I59" s="329"/>
      <c r="J59" s="329"/>
      <c r="K59" s="329"/>
      <c r="L59" s="329"/>
      <c r="M59" s="329"/>
      <c r="N59" s="329"/>
      <c r="O59" s="329"/>
      <c r="P59" s="329"/>
    </row>
    <row r="60" spans="1:16">
      <c r="B60" s="172"/>
      <c r="C60" s="172"/>
      <c r="D60" s="172"/>
      <c r="E60" s="172"/>
      <c r="F60" s="172"/>
      <c r="G60" s="172"/>
      <c r="H60" s="172"/>
      <c r="I60" s="172"/>
      <c r="J60" s="172"/>
      <c r="K60" s="172"/>
      <c r="L60" s="172"/>
      <c r="M60" s="172"/>
    </row>
    <row r="61" spans="1:16">
      <c r="B61" s="31"/>
      <c r="C61" s="31"/>
      <c r="D61" s="31"/>
      <c r="E61" s="31"/>
      <c r="F61" s="31"/>
      <c r="G61" s="31"/>
      <c r="H61" s="31"/>
      <c r="I61" s="31"/>
      <c r="J61" s="31"/>
      <c r="K61" s="31"/>
      <c r="L61" s="31"/>
      <c r="M61" s="31"/>
    </row>
  </sheetData>
  <sheetProtection formatCells="0" formatColumns="0" formatRows="0" insertColumns="0" insertRows="0" insertHyperlinks="0" deleteColumns="0" deleteRows="0" sort="0" autoFilter="0" pivotTables="0"/>
  <mergeCells count="2">
    <mergeCell ref="A59:P59"/>
    <mergeCell ref="B1:P1"/>
  </mergeCells>
  <conditionalFormatting sqref="B61:M61">
    <cfRule type="cellIs" dxfId="1"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07"/>
  <sheetViews>
    <sheetView zoomScaleNormal="100" workbookViewId="0">
      <pane ySplit="2" topLeftCell="A3" activePane="bottomLeft" state="frozen"/>
      <selection pane="bottomLeft" activeCell="A2" sqref="A2"/>
    </sheetView>
  </sheetViews>
  <sheetFormatPr defaultColWidth="9.140625" defaultRowHeight="15"/>
  <cols>
    <col min="1" max="1" width="48.5703125" style="18" customWidth="1"/>
    <col min="2" max="15" width="9.7109375" style="18" customWidth="1"/>
    <col min="16" max="16" width="9.140625" style="18"/>
    <col min="17" max="17" width="15.140625" style="18" customWidth="1"/>
    <col min="18" max="16384" width="9.140625" style="18"/>
  </cols>
  <sheetData>
    <row r="1" spans="1:17">
      <c r="A1" s="113" t="s">
        <v>152</v>
      </c>
      <c r="B1" s="113"/>
      <c r="C1" s="113"/>
      <c r="D1" s="113"/>
      <c r="E1" s="113"/>
      <c r="F1" s="113"/>
      <c r="G1" s="113"/>
      <c r="H1" s="113"/>
      <c r="I1" s="113"/>
      <c r="J1" s="113"/>
      <c r="K1" s="113"/>
      <c r="L1" s="113"/>
      <c r="M1" s="113"/>
      <c r="N1" s="113"/>
      <c r="O1" s="113"/>
      <c r="P1" s="113"/>
      <c r="Q1" s="113"/>
    </row>
    <row r="2" spans="1:17" ht="24.75">
      <c r="A2" s="114" t="s">
        <v>43</v>
      </c>
      <c r="B2" s="115" t="s">
        <v>634</v>
      </c>
      <c r="C2" s="115" t="s">
        <v>619</v>
      </c>
      <c r="D2" s="115" t="s">
        <v>596</v>
      </c>
      <c r="E2" s="115" t="s">
        <v>570</v>
      </c>
      <c r="F2" s="87">
        <v>45444</v>
      </c>
      <c r="G2" s="87">
        <v>45352</v>
      </c>
      <c r="H2" s="87">
        <v>45261</v>
      </c>
      <c r="I2" s="87">
        <v>45170</v>
      </c>
      <c r="J2" s="87">
        <v>45078</v>
      </c>
      <c r="K2" s="87">
        <v>44986</v>
      </c>
      <c r="L2" s="87">
        <v>44896</v>
      </c>
      <c r="M2" s="87">
        <v>44805</v>
      </c>
      <c r="N2" s="87">
        <v>44713</v>
      </c>
      <c r="O2" s="87">
        <v>44621</v>
      </c>
      <c r="P2" s="115"/>
      <c r="Q2" s="88" t="s">
        <v>635</v>
      </c>
    </row>
    <row r="3" spans="1:17">
      <c r="A3" s="116" t="s">
        <v>564</v>
      </c>
      <c r="B3" s="116"/>
      <c r="C3" s="116"/>
      <c r="D3" s="116"/>
      <c r="E3" s="116"/>
      <c r="F3" s="116"/>
      <c r="G3" s="116"/>
      <c r="H3" s="116"/>
      <c r="I3" s="116"/>
      <c r="J3" s="116"/>
      <c r="K3" s="116"/>
      <c r="L3" s="116"/>
      <c r="M3" s="116"/>
      <c r="N3" s="116"/>
      <c r="O3" s="116"/>
      <c r="P3" s="117"/>
      <c r="Q3" s="117"/>
    </row>
    <row r="4" spans="1:17">
      <c r="A4" s="104" t="s">
        <v>590</v>
      </c>
      <c r="B4" s="184">
        <v>47.418999999999997</v>
      </c>
      <c r="C4" s="228">
        <v>47.44</v>
      </c>
      <c r="D4" s="228">
        <v>56.304000000000002</v>
      </c>
      <c r="E4" s="228">
        <v>59.91</v>
      </c>
      <c r="F4" s="228">
        <v>103.12</v>
      </c>
      <c r="G4" s="228">
        <v>130.41200000000001</v>
      </c>
      <c r="H4" s="228">
        <v>135.15100000000001</v>
      </c>
      <c r="I4" s="228">
        <v>121.797</v>
      </c>
      <c r="J4" s="228">
        <v>102.613</v>
      </c>
      <c r="K4" s="228">
        <v>105.483</v>
      </c>
      <c r="L4" s="228">
        <v>108.27000000000001</v>
      </c>
      <c r="M4" s="228">
        <v>87.078999999999994</v>
      </c>
      <c r="N4" s="228">
        <v>164.38900000000001</v>
      </c>
      <c r="O4" s="228">
        <v>181.524</v>
      </c>
      <c r="P4" s="207"/>
      <c r="Q4" s="208">
        <v>-4.4266441821249572E-4</v>
      </c>
    </row>
    <row r="5" spans="1:17">
      <c r="A5" s="38" t="s">
        <v>407</v>
      </c>
      <c r="B5" s="129"/>
      <c r="C5" s="129"/>
      <c r="D5" s="129"/>
      <c r="E5" s="129"/>
      <c r="F5" s="129"/>
      <c r="G5" s="129"/>
      <c r="H5" s="129"/>
      <c r="I5" s="129"/>
      <c r="J5" s="129"/>
      <c r="K5" s="129"/>
      <c r="L5" s="129"/>
      <c r="M5" s="228">
        <v>56.674999999999997</v>
      </c>
      <c r="N5" s="228">
        <v>66.869</v>
      </c>
      <c r="O5" s="228">
        <v>67.45</v>
      </c>
      <c r="P5" s="207"/>
      <c r="Q5" s="208" t="s">
        <v>620</v>
      </c>
    </row>
    <row r="6" spans="1:17">
      <c r="A6" s="38" t="s">
        <v>385</v>
      </c>
      <c r="B6" s="184">
        <v>0</v>
      </c>
      <c r="C6" s="228">
        <v>0</v>
      </c>
      <c r="D6" s="228">
        <v>0</v>
      </c>
      <c r="E6" s="228">
        <v>4.7E-2</v>
      </c>
      <c r="F6" s="228">
        <v>4.8000000000000001E-2</v>
      </c>
      <c r="G6" s="228">
        <v>4.5999999999999999E-2</v>
      </c>
      <c r="H6" s="228">
        <v>4.3999999999999997E-2</v>
      </c>
      <c r="I6" s="228">
        <v>4.4999999999999998E-2</v>
      </c>
      <c r="J6" s="228">
        <v>4.2000000000000003E-2</v>
      </c>
      <c r="K6" s="228">
        <v>0.04</v>
      </c>
      <c r="L6" s="228">
        <v>0.04</v>
      </c>
      <c r="M6" s="129"/>
      <c r="N6" s="129"/>
      <c r="O6" s="129"/>
      <c r="P6" s="207"/>
      <c r="Q6" s="208" t="s">
        <v>620</v>
      </c>
    </row>
    <row r="7" spans="1:17">
      <c r="A7" s="104" t="s">
        <v>12</v>
      </c>
      <c r="B7" s="184">
        <v>26.289000000000001</v>
      </c>
      <c r="C7" s="228">
        <v>26.468</v>
      </c>
      <c r="D7" s="228">
        <v>26.384</v>
      </c>
      <c r="E7" s="228">
        <v>30.447000000000003</v>
      </c>
      <c r="F7" s="228">
        <v>30.216000000000001</v>
      </c>
      <c r="G7" s="228">
        <v>32.783999999999999</v>
      </c>
      <c r="H7" s="228">
        <v>37.822000000000003</v>
      </c>
      <c r="I7" s="228">
        <v>36.759</v>
      </c>
      <c r="J7" s="228">
        <v>49.902999999999999</v>
      </c>
      <c r="K7" s="228">
        <v>54.88</v>
      </c>
      <c r="L7" s="228">
        <v>59.322000000000003</v>
      </c>
      <c r="M7" s="228">
        <v>81.683999999999997</v>
      </c>
      <c r="N7" s="228">
        <v>88.585422680412364</v>
      </c>
      <c r="O7" s="228">
        <v>103.97042268041237</v>
      </c>
      <c r="P7" s="207"/>
      <c r="Q7" s="208">
        <v>-6.7628834819403998E-3</v>
      </c>
    </row>
    <row r="8" spans="1:17">
      <c r="A8" s="104" t="s">
        <v>124</v>
      </c>
      <c r="B8" s="184">
        <v>73.444000000000003</v>
      </c>
      <c r="C8" s="228">
        <v>75.932000000000002</v>
      </c>
      <c r="D8" s="228">
        <v>78.135000000000005</v>
      </c>
      <c r="E8" s="228">
        <v>108.065</v>
      </c>
      <c r="F8" s="228">
        <v>110.34399999999999</v>
      </c>
      <c r="G8" s="228">
        <v>132.10400000000001</v>
      </c>
      <c r="H8" s="228">
        <v>139.453</v>
      </c>
      <c r="I8" s="228">
        <v>143.96</v>
      </c>
      <c r="J8" s="228">
        <v>157.995</v>
      </c>
      <c r="K8" s="228">
        <v>166.101</v>
      </c>
      <c r="L8" s="228">
        <v>177.39099999999999</v>
      </c>
      <c r="M8" s="228">
        <v>468.36399999999998</v>
      </c>
      <c r="N8" s="228">
        <v>506.71300000000002</v>
      </c>
      <c r="O8" s="228">
        <v>538.79600000000005</v>
      </c>
      <c r="P8" s="207"/>
      <c r="Q8" s="208">
        <v>-3.2766159195069262E-2</v>
      </c>
    </row>
    <row r="9" spans="1:17">
      <c r="A9" s="104" t="s">
        <v>125</v>
      </c>
      <c r="B9" s="184">
        <v>41.076000000000001</v>
      </c>
      <c r="C9" s="228">
        <v>39.954000000000001</v>
      </c>
      <c r="D9" s="228">
        <v>40.283999999999999</v>
      </c>
      <c r="E9" s="228">
        <v>48.027000000000001</v>
      </c>
      <c r="F9" s="228">
        <v>49.843000000000004</v>
      </c>
      <c r="G9" s="228">
        <v>51.871000000000002</v>
      </c>
      <c r="H9" s="228">
        <v>52.98</v>
      </c>
      <c r="I9" s="228">
        <v>55.823999999999998</v>
      </c>
      <c r="J9" s="228">
        <v>60.537999999999997</v>
      </c>
      <c r="K9" s="228">
        <v>62.682000000000002</v>
      </c>
      <c r="L9" s="228">
        <v>65.540000000000006</v>
      </c>
      <c r="M9" s="228">
        <v>324.661</v>
      </c>
      <c r="N9" s="228">
        <v>341.053</v>
      </c>
      <c r="O9" s="228">
        <v>355.57499999999999</v>
      </c>
      <c r="P9" s="207"/>
      <c r="Q9" s="208">
        <v>2.8082294638834656E-2</v>
      </c>
    </row>
    <row r="10" spans="1:17" ht="15.75" thickBot="1">
      <c r="A10" s="118" t="s">
        <v>127</v>
      </c>
      <c r="B10" s="185">
        <v>188.22800000000001</v>
      </c>
      <c r="C10" s="229">
        <v>189.79400000000001</v>
      </c>
      <c r="D10" s="229">
        <v>201.107</v>
      </c>
      <c r="E10" s="229">
        <v>246.49599999999998</v>
      </c>
      <c r="F10" s="229">
        <v>293.57100000000003</v>
      </c>
      <c r="G10" s="229">
        <v>347.21699999999998</v>
      </c>
      <c r="H10" s="229">
        <v>365.45</v>
      </c>
      <c r="I10" s="229">
        <v>358.38499999999999</v>
      </c>
      <c r="J10" s="229">
        <v>371.09100000000001</v>
      </c>
      <c r="K10" s="229">
        <v>389.18599999999998</v>
      </c>
      <c r="L10" s="229">
        <v>410.56299999999999</v>
      </c>
      <c r="M10" s="229">
        <v>1018.463</v>
      </c>
      <c r="N10" s="229">
        <v>1167.6094226804123</v>
      </c>
      <c r="O10" s="229">
        <v>1247.3154226804124</v>
      </c>
      <c r="P10" s="126"/>
      <c r="Q10" s="209">
        <v>-8.251051139656693E-3</v>
      </c>
    </row>
    <row r="11" spans="1:17" ht="15.75" thickTop="1">
      <c r="A11" s="118" t="s">
        <v>625</v>
      </c>
      <c r="B11" s="281"/>
      <c r="C11" s="281"/>
      <c r="D11" s="281"/>
      <c r="E11" s="281"/>
      <c r="F11" s="281"/>
      <c r="G11" s="281"/>
      <c r="H11" s="281"/>
      <c r="I11" s="281"/>
      <c r="J11" s="281"/>
      <c r="K11" s="281"/>
      <c r="L11" s="281"/>
      <c r="M11" s="281"/>
      <c r="N11" s="281"/>
      <c r="O11" s="281"/>
      <c r="P11" s="126"/>
      <c r="Q11" s="210"/>
    </row>
    <row r="12" spans="1:17">
      <c r="A12" s="119" t="s">
        <v>120</v>
      </c>
      <c r="B12" s="184">
        <v>188.036</v>
      </c>
      <c r="C12" s="228">
        <v>189.59899999999999</v>
      </c>
      <c r="D12" s="228">
        <v>200.911</v>
      </c>
      <c r="E12" s="228">
        <v>246.3</v>
      </c>
      <c r="F12" s="228">
        <v>293.37599999999998</v>
      </c>
      <c r="G12" s="228">
        <v>347.02100000000002</v>
      </c>
      <c r="H12" s="228">
        <v>364.93</v>
      </c>
      <c r="I12" s="228">
        <v>357.87799999999999</v>
      </c>
      <c r="J12" s="228">
        <v>370.56200000000001</v>
      </c>
      <c r="K12" s="228">
        <v>388.60599999999999</v>
      </c>
      <c r="L12" s="228">
        <v>408.46699999999998</v>
      </c>
      <c r="M12" s="228">
        <v>1016.336</v>
      </c>
      <c r="N12" s="228">
        <v>1165.2280000000001</v>
      </c>
      <c r="O12" s="228">
        <v>1225.145</v>
      </c>
      <c r="P12" s="126"/>
      <c r="Q12" s="208">
        <v>-8.2437143655820343E-3</v>
      </c>
    </row>
    <row r="13" spans="1:17">
      <c r="A13" s="119" t="s">
        <v>105</v>
      </c>
      <c r="B13" s="184">
        <v>0</v>
      </c>
      <c r="C13" s="228">
        <v>0</v>
      </c>
      <c r="D13" s="228">
        <v>0</v>
      </c>
      <c r="E13" s="228">
        <v>0</v>
      </c>
      <c r="F13" s="228">
        <v>0</v>
      </c>
      <c r="G13" s="228">
        <v>0</v>
      </c>
      <c r="H13" s="228">
        <v>0</v>
      </c>
      <c r="I13" s="228">
        <v>0</v>
      </c>
      <c r="J13" s="228">
        <v>0</v>
      </c>
      <c r="K13" s="228">
        <v>0</v>
      </c>
      <c r="L13" s="228">
        <v>0</v>
      </c>
      <c r="M13" s="228">
        <v>0</v>
      </c>
      <c r="N13" s="228">
        <v>0</v>
      </c>
      <c r="O13" s="228">
        <v>0</v>
      </c>
      <c r="P13" s="126"/>
      <c r="Q13" s="208" t="s">
        <v>620</v>
      </c>
    </row>
    <row r="14" spans="1:17">
      <c r="A14" s="119" t="s">
        <v>132</v>
      </c>
      <c r="B14" s="184">
        <v>0.19200000000000728</v>
      </c>
      <c r="C14" s="228">
        <v>0.1950000000000216</v>
      </c>
      <c r="D14" s="228">
        <v>0.19599999999999795</v>
      </c>
      <c r="E14" s="228">
        <v>0.19599999999996953</v>
      </c>
      <c r="F14" s="228">
        <v>0.19500000000005002</v>
      </c>
      <c r="G14" s="228">
        <v>0.19599999999996953</v>
      </c>
      <c r="H14" s="228">
        <v>0.51999999999998181</v>
      </c>
      <c r="I14" s="228">
        <v>0.507000000000005</v>
      </c>
      <c r="J14" s="228">
        <v>0.52899999999999636</v>
      </c>
      <c r="K14" s="228">
        <v>0.57999999999998408</v>
      </c>
      <c r="L14" s="228">
        <v>2.0960000000000036</v>
      </c>
      <c r="M14" s="228">
        <v>2.1269999999999527</v>
      </c>
      <c r="N14" s="228">
        <v>2.3814226804122427</v>
      </c>
      <c r="O14" s="228">
        <v>22.170422680412457</v>
      </c>
      <c r="P14" s="126"/>
      <c r="Q14" s="208">
        <v>-1.5384615384687139E-2</v>
      </c>
    </row>
    <row r="15" spans="1:17" ht="15.75" thickBot="1">
      <c r="A15" s="118" t="s">
        <v>153</v>
      </c>
      <c r="B15" s="185">
        <v>188.22800000000001</v>
      </c>
      <c r="C15" s="229">
        <v>189.79400000000001</v>
      </c>
      <c r="D15" s="229">
        <v>201.107</v>
      </c>
      <c r="E15" s="229">
        <v>246.49599999999998</v>
      </c>
      <c r="F15" s="229">
        <v>293.57100000000003</v>
      </c>
      <c r="G15" s="229">
        <v>347.21699999999998</v>
      </c>
      <c r="H15" s="229">
        <v>365.45</v>
      </c>
      <c r="I15" s="229">
        <v>358.38499999999999</v>
      </c>
      <c r="J15" s="229">
        <v>371.09100000000001</v>
      </c>
      <c r="K15" s="229">
        <v>389.18599999999998</v>
      </c>
      <c r="L15" s="229">
        <v>410.56299999999999</v>
      </c>
      <c r="M15" s="229">
        <v>1018.463</v>
      </c>
      <c r="N15" s="229">
        <v>1167.6094226804123</v>
      </c>
      <c r="O15" s="229">
        <v>1247.3154226804124</v>
      </c>
      <c r="P15" s="211"/>
      <c r="Q15" s="209">
        <v>-8.251051139656693E-3</v>
      </c>
    </row>
    <row r="16" spans="1:17" ht="15.75" thickTop="1">
      <c r="A16" s="120"/>
      <c r="B16" s="120"/>
      <c r="C16" s="120"/>
      <c r="D16" s="120"/>
      <c r="E16" s="120"/>
      <c r="F16" s="120"/>
      <c r="G16" s="120"/>
      <c r="H16" s="120"/>
      <c r="I16" s="120"/>
      <c r="J16" s="120"/>
      <c r="K16" s="120"/>
      <c r="L16" s="120"/>
      <c r="M16" s="120"/>
      <c r="N16" s="120"/>
      <c r="O16" s="120"/>
      <c r="P16" s="126"/>
      <c r="Q16" s="126"/>
    </row>
    <row r="17" spans="1:17">
      <c r="A17" s="121" t="s">
        <v>565</v>
      </c>
      <c r="B17" s="121"/>
      <c r="C17" s="121"/>
      <c r="D17" s="121"/>
      <c r="E17" s="121"/>
      <c r="F17" s="121"/>
      <c r="G17" s="121"/>
      <c r="H17" s="121"/>
      <c r="I17" s="121"/>
      <c r="J17" s="121"/>
      <c r="K17" s="121"/>
      <c r="L17" s="121"/>
      <c r="M17" s="121"/>
      <c r="N17" s="121"/>
      <c r="O17" s="121"/>
      <c r="P17" s="127"/>
      <c r="Q17" s="127"/>
    </row>
    <row r="18" spans="1:17">
      <c r="A18" s="104" t="s">
        <v>590</v>
      </c>
      <c r="B18" s="186">
        <v>2.0692971171893122</v>
      </c>
      <c r="C18" s="230">
        <v>2.1041104553119729</v>
      </c>
      <c r="D18" s="230">
        <v>1.7436238988348962</v>
      </c>
      <c r="E18" s="230">
        <v>1.3933567017192456</v>
      </c>
      <c r="F18" s="230">
        <v>0.99070985259891386</v>
      </c>
      <c r="G18" s="230">
        <v>0.86334079685918474</v>
      </c>
      <c r="H18" s="230">
        <v>0.89736477115117896</v>
      </c>
      <c r="I18" s="230">
        <v>1.0336005794906409</v>
      </c>
      <c r="J18" s="230">
        <v>1.2915132728783731</v>
      </c>
      <c r="K18" s="230">
        <v>1.0769552806850617</v>
      </c>
      <c r="L18" s="230">
        <v>1.1682043016728727</v>
      </c>
      <c r="M18" s="230">
        <v>0.91545512192309908</v>
      </c>
      <c r="N18" s="230">
        <v>0.65261309810471901</v>
      </c>
      <c r="O18" s="230">
        <v>0.67551992284043638</v>
      </c>
      <c r="P18" s="212"/>
      <c r="Q18" s="208">
        <v>-3.4813338122660742E-2</v>
      </c>
    </row>
    <row r="19" spans="1:17">
      <c r="A19" s="38" t="s">
        <v>541</v>
      </c>
      <c r="B19" s="129"/>
      <c r="C19" s="129"/>
      <c r="D19" s="129"/>
      <c r="E19" s="129"/>
      <c r="F19" s="129"/>
      <c r="G19" s="129"/>
      <c r="H19" s="129"/>
      <c r="I19" s="129"/>
      <c r="J19" s="129"/>
      <c r="K19" s="129"/>
      <c r="L19" s="129"/>
      <c r="M19" s="230">
        <v>1.3841729157476841</v>
      </c>
      <c r="N19" s="230">
        <v>1.1730697333592546</v>
      </c>
      <c r="O19" s="230">
        <v>0.89696071163825053</v>
      </c>
      <c r="P19" s="212"/>
      <c r="Q19" s="208">
        <v>0</v>
      </c>
    </row>
    <row r="20" spans="1:17">
      <c r="A20" s="38" t="s">
        <v>383</v>
      </c>
      <c r="B20" s="186" t="s">
        <v>620</v>
      </c>
      <c r="C20" s="230" t="s">
        <v>620</v>
      </c>
      <c r="D20" s="230" t="s">
        <v>620</v>
      </c>
      <c r="E20" s="230">
        <v>343.14893617021278</v>
      </c>
      <c r="F20" s="230">
        <v>357.29166666666669</v>
      </c>
      <c r="G20" s="230">
        <v>335.91304347826087</v>
      </c>
      <c r="H20" s="230">
        <v>369.75</v>
      </c>
      <c r="I20" s="230">
        <v>361.95555555555558</v>
      </c>
      <c r="J20" s="230">
        <v>0</v>
      </c>
      <c r="K20" s="230">
        <v>0</v>
      </c>
      <c r="L20" s="230">
        <v>17.975000000000001</v>
      </c>
      <c r="M20" s="129"/>
      <c r="N20" s="129"/>
      <c r="O20" s="129"/>
      <c r="P20" s="212"/>
      <c r="Q20" s="208" t="s">
        <v>620</v>
      </c>
    </row>
    <row r="21" spans="1:17">
      <c r="A21" s="104" t="s">
        <v>12</v>
      </c>
      <c r="B21" s="186">
        <v>1.1331735706949675</v>
      </c>
      <c r="C21" s="230">
        <v>1.0553120749584404</v>
      </c>
      <c r="D21" s="230">
        <v>0.91714675560946024</v>
      </c>
      <c r="E21" s="230">
        <v>0.8357145203139883</v>
      </c>
      <c r="F21" s="230">
        <v>0.77778888111655176</v>
      </c>
      <c r="G21" s="230">
        <v>0.74140788020130111</v>
      </c>
      <c r="H21" s="230">
        <v>0.71447934938606283</v>
      </c>
      <c r="I21" s="230">
        <v>0.73237972814046992</v>
      </c>
      <c r="J21" s="230">
        <v>0.74550868086989763</v>
      </c>
      <c r="K21" s="230">
        <v>0.66689830477479295</v>
      </c>
      <c r="L21" s="230">
        <v>0.6655427717334631</v>
      </c>
      <c r="M21" s="230">
        <v>0.63821479080361943</v>
      </c>
      <c r="N21" s="230">
        <v>0.64947893800402057</v>
      </c>
      <c r="O21" s="230">
        <v>0.61227087053800522</v>
      </c>
      <c r="P21" s="126"/>
      <c r="Q21" s="208">
        <v>7.786149573652712E-2</v>
      </c>
    </row>
    <row r="22" spans="1:17">
      <c r="A22" s="104" t="s">
        <v>124</v>
      </c>
      <c r="B22" s="186">
        <v>0.96431294591797834</v>
      </c>
      <c r="C22" s="230">
        <v>0.92195648738344838</v>
      </c>
      <c r="D22" s="230">
        <v>0.8849043322454726</v>
      </c>
      <c r="E22" s="230">
        <v>0.70829593300328508</v>
      </c>
      <c r="F22" s="230">
        <v>0.67440005800043501</v>
      </c>
      <c r="G22" s="230">
        <v>0.62132865015442373</v>
      </c>
      <c r="H22" s="230">
        <v>0.49882039109951021</v>
      </c>
      <c r="I22" s="230">
        <v>0.48516254515143098</v>
      </c>
      <c r="J22" s="230">
        <v>0.51194025127377452</v>
      </c>
      <c r="K22" s="230">
        <v>0.48459070083864636</v>
      </c>
      <c r="L22" s="230">
        <v>0.38941096222469007</v>
      </c>
      <c r="M22" s="230">
        <v>0.4219004876549009</v>
      </c>
      <c r="N22" s="230">
        <v>0.43681729105035788</v>
      </c>
      <c r="O22" s="230">
        <v>0.447750168895092</v>
      </c>
      <c r="P22" s="126"/>
      <c r="Q22" s="208">
        <v>4.2356458534529962E-2</v>
      </c>
    </row>
    <row r="23" spans="1:17">
      <c r="A23" s="104" t="s">
        <v>125</v>
      </c>
      <c r="B23" s="186">
        <v>0.86578537345408513</v>
      </c>
      <c r="C23" s="230">
        <v>0.83916503979576518</v>
      </c>
      <c r="D23" s="230">
        <v>0.79185284480190643</v>
      </c>
      <c r="E23" s="230">
        <v>0.73006850313365401</v>
      </c>
      <c r="F23" s="230">
        <v>0.66884015809642272</v>
      </c>
      <c r="G23" s="230">
        <v>0.63505619710435501</v>
      </c>
      <c r="H23" s="230">
        <v>0.6249150622876557</v>
      </c>
      <c r="I23" s="230">
        <v>0.63854256233877904</v>
      </c>
      <c r="J23" s="230">
        <v>0.59739337275760684</v>
      </c>
      <c r="K23" s="230">
        <v>0.5930570179636897</v>
      </c>
      <c r="L23" s="230">
        <v>0.4861916386939274</v>
      </c>
      <c r="M23" s="230">
        <v>0.62170694971062124</v>
      </c>
      <c r="N23" s="230">
        <v>0.62211151932397601</v>
      </c>
      <c r="O23" s="230">
        <v>0.6232327919566899</v>
      </c>
      <c r="P23" s="126"/>
      <c r="Q23" s="208">
        <v>2.662033365831995E-2</v>
      </c>
    </row>
    <row r="24" spans="1:17">
      <c r="A24" s="114" t="s">
        <v>154</v>
      </c>
      <c r="B24" s="187">
        <v>1.245016911655215</v>
      </c>
      <c r="C24" s="231">
        <v>1.2188355423815527</v>
      </c>
      <c r="D24" s="231">
        <v>1.1110193070563583</v>
      </c>
      <c r="E24" s="231">
        <v>0.96004060089321963</v>
      </c>
      <c r="F24" s="231">
        <v>0.85356334533158817</v>
      </c>
      <c r="G24" s="231">
        <v>0.77005138017583952</v>
      </c>
      <c r="H24" s="231">
        <v>0.73112925766585368</v>
      </c>
      <c r="I24" s="231">
        <v>0.76597052626872841</v>
      </c>
      <c r="J24" s="231">
        <v>0.73580399501298033</v>
      </c>
      <c r="K24" s="231">
        <v>0.68789725325908502</v>
      </c>
      <c r="L24" s="231">
        <v>0.65139411506927125</v>
      </c>
      <c r="M24" s="231">
        <v>0.59851368051510523</v>
      </c>
      <c r="N24" s="231">
        <v>0.57947886593868325</v>
      </c>
      <c r="O24" s="231">
        <v>0.5673369274657285</v>
      </c>
      <c r="P24" s="212"/>
      <c r="Q24" s="208">
        <v>2.6181369273662325E-2</v>
      </c>
    </row>
    <row r="25" spans="1:17">
      <c r="A25" s="114" t="s">
        <v>155</v>
      </c>
      <c r="B25" s="187">
        <v>1.2447669847206579</v>
      </c>
      <c r="C25" s="231">
        <v>1.2186107042372256</v>
      </c>
      <c r="D25" s="231">
        <v>1.1109111070226299</v>
      </c>
      <c r="E25" s="231">
        <v>0.96007237439958459</v>
      </c>
      <c r="F25" s="231">
        <v>0.85366085467411223</v>
      </c>
      <c r="G25" s="231">
        <v>0.77018103697432916</v>
      </c>
      <c r="H25" s="231">
        <v>0.73124128742722883</v>
      </c>
      <c r="I25" s="231">
        <v>0.7660368900022777</v>
      </c>
      <c r="J25" s="231">
        <v>0.77513469734534213</v>
      </c>
      <c r="K25" s="231">
        <v>0.68596032786439143</v>
      </c>
      <c r="L25" s="231">
        <v>0.68596032786439143</v>
      </c>
      <c r="M25" s="231">
        <v>0.58636836109022872</v>
      </c>
      <c r="N25" s="231">
        <v>0.58636836109022872</v>
      </c>
      <c r="O25" s="231">
        <v>0.58636836109022872</v>
      </c>
      <c r="P25" s="212"/>
      <c r="Q25" s="208">
        <v>2.6156280483432326E-2</v>
      </c>
    </row>
    <row r="26" spans="1:17">
      <c r="A26" s="122"/>
      <c r="B26" s="122"/>
      <c r="C26" s="122"/>
      <c r="D26" s="122"/>
      <c r="E26" s="122"/>
      <c r="F26" s="122"/>
      <c r="G26" s="122"/>
      <c r="H26" s="122"/>
      <c r="I26" s="122"/>
      <c r="J26" s="122"/>
      <c r="K26" s="122"/>
      <c r="L26" s="122"/>
      <c r="M26" s="122"/>
      <c r="N26" s="122"/>
      <c r="O26" s="122"/>
      <c r="P26" s="126"/>
      <c r="Q26" s="126"/>
    </row>
    <row r="27" spans="1:17">
      <c r="A27" s="121" t="s">
        <v>566</v>
      </c>
      <c r="B27" s="121"/>
      <c r="C27" s="121"/>
      <c r="D27" s="121"/>
      <c r="E27" s="121"/>
      <c r="F27" s="121"/>
      <c r="G27" s="121"/>
      <c r="H27" s="121"/>
      <c r="I27" s="121"/>
      <c r="J27" s="121"/>
      <c r="K27" s="121"/>
      <c r="L27" s="121"/>
      <c r="M27" s="121"/>
      <c r="N27" s="121"/>
      <c r="O27" s="121"/>
      <c r="P27" s="131"/>
      <c r="Q27" s="131"/>
    </row>
    <row r="28" spans="1:17">
      <c r="A28" s="104" t="s">
        <v>590</v>
      </c>
      <c r="B28" s="186">
        <v>0.94038254708028424</v>
      </c>
      <c r="C28" s="230">
        <v>0.93043844856661051</v>
      </c>
      <c r="D28" s="230">
        <v>0.87491119636260306</v>
      </c>
      <c r="E28" s="230">
        <v>0.87329327324319816</v>
      </c>
      <c r="F28" s="230">
        <v>0.8159522885958107</v>
      </c>
      <c r="G28" s="230">
        <v>0.82570622335367916</v>
      </c>
      <c r="H28" s="230">
        <v>0.80584007654253231</v>
      </c>
      <c r="I28" s="230">
        <v>0.69176695257066656</v>
      </c>
      <c r="J28" s="230">
        <v>0.67137270238560809</v>
      </c>
      <c r="K28" s="230">
        <v>0.69236917221693628</v>
      </c>
      <c r="L28" s="230">
        <v>0.68724874488226906</v>
      </c>
      <c r="M28" s="230">
        <v>0.7216809823024154</v>
      </c>
      <c r="N28" s="230">
        <v>0.40870158925621347</v>
      </c>
      <c r="O28" s="230">
        <v>0.37369341129664235</v>
      </c>
      <c r="P28" s="126"/>
      <c r="Q28" s="208">
        <v>9.944098513673727E-3</v>
      </c>
    </row>
    <row r="29" spans="1:17">
      <c r="A29" s="38" t="s">
        <v>541</v>
      </c>
      <c r="B29" s="129"/>
      <c r="C29" s="129"/>
      <c r="D29" s="129"/>
      <c r="E29" s="129"/>
      <c r="F29" s="129"/>
      <c r="G29" s="129"/>
      <c r="H29" s="129"/>
      <c r="I29" s="129"/>
      <c r="J29" s="129"/>
      <c r="K29" s="129"/>
      <c r="L29" s="129"/>
      <c r="M29" s="230">
        <v>0.57173356859285396</v>
      </c>
      <c r="N29" s="230">
        <v>0.62849751005697707</v>
      </c>
      <c r="O29" s="230">
        <v>0.56963676797627871</v>
      </c>
      <c r="P29" s="126"/>
      <c r="Q29" s="208">
        <v>0</v>
      </c>
    </row>
    <row r="30" spans="1:17">
      <c r="A30" s="38" t="s">
        <v>383</v>
      </c>
      <c r="B30" s="186" t="s">
        <v>620</v>
      </c>
      <c r="C30" s="230" t="s">
        <v>620</v>
      </c>
      <c r="D30" s="230" t="s">
        <v>620</v>
      </c>
      <c r="E30" s="230">
        <v>0</v>
      </c>
      <c r="F30" s="230">
        <v>0</v>
      </c>
      <c r="G30" s="230">
        <v>0</v>
      </c>
      <c r="H30" s="230">
        <v>0</v>
      </c>
      <c r="I30" s="230">
        <v>0.1111111111111111</v>
      </c>
      <c r="J30" s="230">
        <v>7.1428571428571425E-2</v>
      </c>
      <c r="K30" s="230">
        <v>0</v>
      </c>
      <c r="L30" s="230">
        <v>0</v>
      </c>
      <c r="M30" s="129"/>
      <c r="N30" s="129"/>
      <c r="O30" s="129"/>
      <c r="P30" s="126"/>
      <c r="Q30" s="208" t="s">
        <v>620</v>
      </c>
    </row>
    <row r="31" spans="1:17">
      <c r="A31" s="104" t="s">
        <v>12</v>
      </c>
      <c r="B31" s="186">
        <v>0.82137015481760434</v>
      </c>
      <c r="C31" s="230">
        <v>0.83701072993803838</v>
      </c>
      <c r="D31" s="230">
        <v>0.83698453608247425</v>
      </c>
      <c r="E31" s="230">
        <v>0.85978914178736821</v>
      </c>
      <c r="F31" s="230">
        <v>0.86945804603444254</v>
      </c>
      <c r="G31" s="230">
        <v>0.88501902540812571</v>
      </c>
      <c r="H31" s="230">
        <v>0.88398979429118163</v>
      </c>
      <c r="I31" s="230">
        <v>0.89475699477613979</v>
      </c>
      <c r="J31" s="230">
        <v>0.82191643028144934</v>
      </c>
      <c r="K31" s="230">
        <v>0.84711884863668785</v>
      </c>
      <c r="L31" s="230">
        <v>0.82564566025930686</v>
      </c>
      <c r="M31" s="230">
        <v>0.7738451333525237</v>
      </c>
      <c r="N31" s="230">
        <v>0.75144996187351254</v>
      </c>
      <c r="O31" s="230">
        <v>0.75094936059281159</v>
      </c>
      <c r="P31" s="126"/>
      <c r="Q31" s="208">
        <v>-1.5640575120434042E-2</v>
      </c>
    </row>
    <row r="32" spans="1:17">
      <c r="A32" s="104" t="s">
        <v>124</v>
      </c>
      <c r="B32" s="186">
        <v>0.93734001416044876</v>
      </c>
      <c r="C32" s="230">
        <v>0.94543802349470574</v>
      </c>
      <c r="D32" s="230">
        <v>0.9482306264798106</v>
      </c>
      <c r="E32" s="230">
        <v>0.96335538796094944</v>
      </c>
      <c r="F32" s="230">
        <v>0.96227252954397158</v>
      </c>
      <c r="G32" s="230">
        <v>0.96303669835886874</v>
      </c>
      <c r="H32" s="230">
        <v>0.9588320079166458</v>
      </c>
      <c r="I32" s="230">
        <v>0.95741178105029179</v>
      </c>
      <c r="J32" s="230">
        <v>0.94828950283236813</v>
      </c>
      <c r="K32" s="230">
        <v>0.95222786136146076</v>
      </c>
      <c r="L32" s="230">
        <v>0.94325529480075088</v>
      </c>
      <c r="M32" s="230">
        <v>0.85650903997745342</v>
      </c>
      <c r="N32" s="230">
        <v>0.85836558367359828</v>
      </c>
      <c r="O32" s="230">
        <v>0.86398933919331244</v>
      </c>
      <c r="P32" s="126"/>
      <c r="Q32" s="208">
        <v>-8.0980093342569726E-3</v>
      </c>
    </row>
    <row r="33" spans="1:17">
      <c r="A33" s="104" t="s">
        <v>125</v>
      </c>
      <c r="B33" s="186">
        <v>0.46871652546499171</v>
      </c>
      <c r="C33" s="230">
        <v>0.49078940781899183</v>
      </c>
      <c r="D33" s="230">
        <v>0.51707874093933071</v>
      </c>
      <c r="E33" s="230">
        <v>0.60005830053928</v>
      </c>
      <c r="F33" s="230">
        <v>0.62534357883754987</v>
      </c>
      <c r="G33" s="230">
        <v>0.64105184014189043</v>
      </c>
      <c r="H33" s="230">
        <v>0.66102302755756892</v>
      </c>
      <c r="I33" s="230">
        <v>0.66792060762396099</v>
      </c>
      <c r="J33" s="230">
        <v>0.69004592156992306</v>
      </c>
      <c r="K33" s="230">
        <v>0.72931623113493504</v>
      </c>
      <c r="L33" s="230">
        <v>0.73655782728104979</v>
      </c>
      <c r="M33" s="230">
        <v>0.59351138572233808</v>
      </c>
      <c r="N33" s="230">
        <v>0.59934966119635369</v>
      </c>
      <c r="O33" s="230">
        <v>0.61299585178935523</v>
      </c>
      <c r="P33" s="126"/>
      <c r="Q33" s="208">
        <v>-2.2072882354000123E-2</v>
      </c>
    </row>
    <row r="34" spans="1:17">
      <c r="A34" s="114" t="s">
        <v>562</v>
      </c>
      <c r="B34" s="187">
        <v>0.81964426121512213</v>
      </c>
      <c r="C34" s="231">
        <v>0.83085872050749765</v>
      </c>
      <c r="D34" s="231">
        <v>0.82674397211434714</v>
      </c>
      <c r="E34" s="231">
        <v>0.85770560171361809</v>
      </c>
      <c r="F34" s="231">
        <v>0.84394428992146597</v>
      </c>
      <c r="G34" s="231">
        <v>0.85584445898086858</v>
      </c>
      <c r="H34" s="231">
        <v>0.8512399638286795</v>
      </c>
      <c r="I34" s="231">
        <v>0.81557122818390626</v>
      </c>
      <c r="J34" s="231">
        <v>0.81261705193732758</v>
      </c>
      <c r="K34" s="231">
        <v>0.83110399736494034</v>
      </c>
      <c r="L34" s="231">
        <v>0.82576805470209347</v>
      </c>
      <c r="M34" s="231">
        <v>0.73861104988901305</v>
      </c>
      <c r="N34" s="231">
        <v>0.69811744997545544</v>
      </c>
      <c r="O34" s="231">
        <v>0.69955964396051085</v>
      </c>
      <c r="P34" s="126"/>
      <c r="Q34" s="208">
        <v>-1.1214459292375523E-2</v>
      </c>
    </row>
    <row r="35" spans="1:17">
      <c r="A35" s="91"/>
      <c r="B35" s="91"/>
      <c r="C35" s="91"/>
      <c r="D35" s="91"/>
      <c r="E35" s="91"/>
      <c r="F35" s="91"/>
      <c r="G35" s="91"/>
      <c r="H35" s="91"/>
      <c r="I35" s="91"/>
      <c r="J35" s="91"/>
      <c r="K35" s="91"/>
      <c r="L35" s="91"/>
      <c r="M35" s="91"/>
      <c r="N35" s="91"/>
      <c r="O35" s="91"/>
      <c r="P35" s="126"/>
      <c r="Q35" s="126"/>
    </row>
    <row r="36" spans="1:17">
      <c r="A36" s="121" t="s">
        <v>567</v>
      </c>
      <c r="B36" s="121"/>
      <c r="C36" s="121"/>
      <c r="D36" s="121"/>
      <c r="E36" s="121"/>
      <c r="F36" s="121"/>
      <c r="G36" s="121"/>
      <c r="H36" s="121"/>
      <c r="I36" s="121"/>
      <c r="J36" s="121"/>
      <c r="K36" s="121"/>
      <c r="L36" s="121"/>
      <c r="M36" s="121"/>
      <c r="N36" s="121"/>
      <c r="O36" s="121"/>
      <c r="P36" s="131"/>
      <c r="Q36" s="131"/>
    </row>
    <row r="37" spans="1:17">
      <c r="A37" s="104" t="s">
        <v>590</v>
      </c>
      <c r="B37" s="186">
        <v>3.0096796642695964</v>
      </c>
      <c r="C37" s="230">
        <v>3.0345489038785836</v>
      </c>
      <c r="D37" s="230">
        <v>2.6185350951974993</v>
      </c>
      <c r="E37" s="230">
        <v>2.2666499749624438</v>
      </c>
      <c r="F37" s="230">
        <v>1.8066621411947246</v>
      </c>
      <c r="G37" s="230">
        <v>1.6890470202128638</v>
      </c>
      <c r="H37" s="230">
        <v>1.7032048476937112</v>
      </c>
      <c r="I37" s="230">
        <v>1.7253675320613073</v>
      </c>
      <c r="J37" s="230">
        <v>1.9628859752639811</v>
      </c>
      <c r="K37" s="230">
        <v>1.769324452901998</v>
      </c>
      <c r="L37" s="230">
        <v>1.8554530465551418</v>
      </c>
      <c r="M37" s="230">
        <v>1.6371361042255144</v>
      </c>
      <c r="N37" s="230">
        <v>1.0613146873609325</v>
      </c>
      <c r="O37" s="230">
        <v>1.0492133341370788</v>
      </c>
      <c r="P37" s="126"/>
      <c r="Q37" s="208">
        <v>-2.4869239608987126E-2</v>
      </c>
    </row>
    <row r="38" spans="1:17">
      <c r="A38" s="38" t="s">
        <v>541</v>
      </c>
      <c r="B38" s="129"/>
      <c r="C38" s="129"/>
      <c r="D38" s="129"/>
      <c r="E38" s="129"/>
      <c r="F38" s="129"/>
      <c r="G38" s="129"/>
      <c r="H38" s="129"/>
      <c r="I38" s="129"/>
      <c r="J38" s="129"/>
      <c r="K38" s="129"/>
      <c r="L38" s="129"/>
      <c r="M38" s="230">
        <v>1.955906484340538</v>
      </c>
      <c r="N38" s="230">
        <v>1.8015672434162315</v>
      </c>
      <c r="O38" s="230">
        <v>1.4665974796145291</v>
      </c>
      <c r="P38" s="126"/>
      <c r="Q38" s="208">
        <v>0</v>
      </c>
    </row>
    <row r="39" spans="1:17">
      <c r="A39" s="38" t="s">
        <v>383</v>
      </c>
      <c r="B39" s="186" t="s">
        <v>620</v>
      </c>
      <c r="C39" s="230" t="s">
        <v>620</v>
      </c>
      <c r="D39" s="230" t="s">
        <v>620</v>
      </c>
      <c r="E39" s="230">
        <v>343.14893617021278</v>
      </c>
      <c r="F39" s="230">
        <v>357.29166666666669</v>
      </c>
      <c r="G39" s="230">
        <v>335.91304347826087</v>
      </c>
      <c r="H39" s="230">
        <v>369.75</v>
      </c>
      <c r="I39" s="230">
        <v>362.06666666666666</v>
      </c>
      <c r="J39" s="230">
        <v>7.1428571428571425E-2</v>
      </c>
      <c r="K39" s="230">
        <v>0</v>
      </c>
      <c r="L39" s="230">
        <v>17.975000000000001</v>
      </c>
      <c r="M39" s="129"/>
      <c r="N39" s="129"/>
      <c r="O39" s="129"/>
      <c r="P39" s="126"/>
      <c r="Q39" s="208" t="s">
        <v>620</v>
      </c>
    </row>
    <row r="40" spans="1:17">
      <c r="A40" s="104" t="s">
        <v>12</v>
      </c>
      <c r="B40" s="186">
        <v>1.9545437255125719</v>
      </c>
      <c r="C40" s="230">
        <v>1.8923228048964789</v>
      </c>
      <c r="D40" s="230">
        <v>1.7541312916919345</v>
      </c>
      <c r="E40" s="230">
        <v>1.6955036621013564</v>
      </c>
      <c r="F40" s="230">
        <v>1.6472469271509942</v>
      </c>
      <c r="G40" s="230">
        <v>1.6264269056094269</v>
      </c>
      <c r="H40" s="230">
        <v>1.5984691436772445</v>
      </c>
      <c r="I40" s="230">
        <v>1.6271367229166098</v>
      </c>
      <c r="J40" s="230">
        <v>1.5674251111513469</v>
      </c>
      <c r="K40" s="230">
        <v>1.5140171534114808</v>
      </c>
      <c r="L40" s="230">
        <v>1.49118843199277</v>
      </c>
      <c r="M40" s="230">
        <v>1.4120599241561431</v>
      </c>
      <c r="N40" s="230">
        <v>1.4009288998775331</v>
      </c>
      <c r="O40" s="230">
        <v>1.3632202311308168</v>
      </c>
      <c r="P40" s="126"/>
      <c r="Q40" s="208">
        <v>6.2220920616093078E-2</v>
      </c>
    </row>
    <row r="41" spans="1:17">
      <c r="A41" s="104" t="s">
        <v>124</v>
      </c>
      <c r="B41" s="186">
        <v>1.9016529600784271</v>
      </c>
      <c r="C41" s="230">
        <v>1.867394510878154</v>
      </c>
      <c r="D41" s="230">
        <v>1.8331349587252832</v>
      </c>
      <c r="E41" s="230">
        <v>1.6716513209642345</v>
      </c>
      <c r="F41" s="230">
        <v>1.6366725875444066</v>
      </c>
      <c r="G41" s="230">
        <v>1.5843653485132925</v>
      </c>
      <c r="H41" s="230">
        <v>1.4576523990161561</v>
      </c>
      <c r="I41" s="230">
        <v>1.4425743262017228</v>
      </c>
      <c r="J41" s="230">
        <v>1.4602297541061426</v>
      </c>
      <c r="K41" s="230">
        <v>1.4368185622001071</v>
      </c>
      <c r="L41" s="230">
        <v>1.3326662570254411</v>
      </c>
      <c r="M41" s="230">
        <v>1.2784095276323544</v>
      </c>
      <c r="N41" s="230">
        <v>1.2951828747239562</v>
      </c>
      <c r="O41" s="230">
        <v>1.3117395080884044</v>
      </c>
      <c r="P41" s="126"/>
      <c r="Q41" s="208">
        <v>3.42584492002731E-2</v>
      </c>
    </row>
    <row r="42" spans="1:17">
      <c r="A42" s="104" t="s">
        <v>125</v>
      </c>
      <c r="B42" s="186">
        <v>1.3345018989190769</v>
      </c>
      <c r="C42" s="230">
        <v>1.3299544476147571</v>
      </c>
      <c r="D42" s="230">
        <v>1.3089315857412371</v>
      </c>
      <c r="E42" s="230">
        <v>1.3301268036729339</v>
      </c>
      <c r="F42" s="230">
        <v>1.2941837369339726</v>
      </c>
      <c r="G42" s="230">
        <v>1.2761080372462454</v>
      </c>
      <c r="H42" s="230">
        <v>1.2859380898452246</v>
      </c>
      <c r="I42" s="230">
        <v>1.30646316996274</v>
      </c>
      <c r="J42" s="230">
        <v>1.2874392943275299</v>
      </c>
      <c r="K42" s="230">
        <v>1.3223732490986246</v>
      </c>
      <c r="L42" s="230">
        <v>1.2227494659749771</v>
      </c>
      <c r="M42" s="230">
        <v>1.2152183354329593</v>
      </c>
      <c r="N42" s="230">
        <v>1.2214611805203297</v>
      </c>
      <c r="O42" s="230">
        <v>1.236228643746045</v>
      </c>
      <c r="P42" s="126"/>
      <c r="Q42" s="208">
        <v>4.5474513043197717E-3</v>
      </c>
    </row>
    <row r="43" spans="1:17">
      <c r="A43" s="114" t="s">
        <v>563</v>
      </c>
      <c r="B43" s="187">
        <v>2.06441124593578</v>
      </c>
      <c r="C43" s="231">
        <v>2.0494694247447232</v>
      </c>
      <c r="D43" s="231">
        <v>1.9376550791369769</v>
      </c>
      <c r="E43" s="231">
        <v>1.8177779761132027</v>
      </c>
      <c r="F43" s="231">
        <v>1.697507635253054</v>
      </c>
      <c r="G43" s="231">
        <v>1.625895839156708</v>
      </c>
      <c r="H43" s="231">
        <v>1.5823692214945333</v>
      </c>
      <c r="I43" s="231">
        <v>1.5815417544526347</v>
      </c>
      <c r="J43" s="231">
        <v>1.5484210469503079</v>
      </c>
      <c r="K43" s="231">
        <v>1.5190012506240254</v>
      </c>
      <c r="L43" s="231">
        <v>1.4771621697713648</v>
      </c>
      <c r="M43" s="231">
        <v>1.3371247304041183</v>
      </c>
      <c r="N43" s="231">
        <v>1.2775963159141388</v>
      </c>
      <c r="O43" s="231">
        <v>1.2668965714262392</v>
      </c>
      <c r="P43" s="126"/>
      <c r="Q43" s="208">
        <v>1.4941821191056803E-2</v>
      </c>
    </row>
    <row r="44" spans="1:17">
      <c r="A44" s="91"/>
      <c r="B44" s="91"/>
      <c r="C44" s="91"/>
      <c r="D44" s="91"/>
      <c r="E44" s="91"/>
      <c r="F44" s="91"/>
      <c r="G44" s="91"/>
      <c r="H44" s="91"/>
      <c r="I44" s="91"/>
      <c r="J44" s="91"/>
      <c r="K44" s="91"/>
      <c r="L44" s="91"/>
      <c r="M44" s="91"/>
      <c r="N44" s="91"/>
      <c r="O44" s="91"/>
      <c r="P44" s="123"/>
      <c r="Q44" s="123"/>
    </row>
    <row r="45" spans="1:17">
      <c r="A45" s="121" t="s">
        <v>251</v>
      </c>
      <c r="B45" s="121"/>
      <c r="C45" s="121"/>
      <c r="D45" s="121"/>
      <c r="E45" s="121"/>
      <c r="F45" s="121"/>
      <c r="G45" s="121"/>
      <c r="H45" s="121"/>
      <c r="I45" s="121"/>
      <c r="J45" s="121"/>
      <c r="K45" s="121"/>
      <c r="L45" s="121"/>
      <c r="M45" s="121"/>
      <c r="N45" s="121"/>
      <c r="O45" s="121"/>
      <c r="P45" s="131"/>
      <c r="Q45" s="131"/>
    </row>
    <row r="46" spans="1:17">
      <c r="A46" s="91" t="s">
        <v>252</v>
      </c>
      <c r="B46" s="311">
        <v>1.7701737250469158E-2</v>
      </c>
      <c r="C46" s="312">
        <v>1.6866878438600203E-2</v>
      </c>
      <c r="D46" s="312">
        <v>1.9304495222708523E-2</v>
      </c>
      <c r="E46" s="312">
        <v>2.5000000000000001E-2</v>
      </c>
      <c r="F46" s="230">
        <v>3.6202957976466478E-2</v>
      </c>
      <c r="G46" s="230">
        <v>3.8958662474932043E-2</v>
      </c>
      <c r="H46" s="230">
        <v>4.4229640001806764E-2</v>
      </c>
      <c r="I46" s="230">
        <v>3.2158099357585256E-2</v>
      </c>
      <c r="J46" s="230">
        <v>2.2198340928238771E-2</v>
      </c>
      <c r="K46" s="230">
        <v>2.3982338026462671E-2</v>
      </c>
      <c r="L46" s="230">
        <v>2.4203476367783125E-2</v>
      </c>
      <c r="M46" s="230">
        <v>8.0472381353634534E-2</v>
      </c>
      <c r="N46" s="230">
        <v>8.680285764664622E-2</v>
      </c>
      <c r="O46" s="230">
        <v>9.6456146794726513E-2</v>
      </c>
      <c r="P46" s="123"/>
      <c r="Q46" s="208">
        <v>8.3485881186895483E-4</v>
      </c>
    </row>
    <row r="47" spans="1:17">
      <c r="A47" s="91" t="s">
        <v>253</v>
      </c>
      <c r="B47" s="311">
        <v>8.9400851746296636E-3</v>
      </c>
      <c r="C47" s="312">
        <v>7.8947047116711237E-3</v>
      </c>
      <c r="D47" s="312">
        <v>1.100508506497583E-2</v>
      </c>
      <c r="E47" s="312">
        <v>1.100616765408082E-2</v>
      </c>
      <c r="F47" s="230">
        <v>1.053748646818223E-2</v>
      </c>
      <c r="G47" s="230">
        <v>1.0724237306559416E-2</v>
      </c>
      <c r="H47" s="230">
        <v>1.1433370291899487E-2</v>
      </c>
      <c r="I47" s="230">
        <v>1.7347056149249317E-2</v>
      </c>
      <c r="J47" s="230">
        <v>2.0172279350210067E-2</v>
      </c>
      <c r="K47" s="230">
        <v>2.3504708577246118E-2</v>
      </c>
      <c r="L47" s="230">
        <v>2.4855546655785439E-2</v>
      </c>
      <c r="M47" s="230">
        <v>8.1760633937517077E-2</v>
      </c>
      <c r="N47" s="230">
        <v>8.6034259551990469E-2</v>
      </c>
      <c r="O47" s="230">
        <v>0.10260004664632369</v>
      </c>
      <c r="P47" s="123"/>
      <c r="Q47" s="208">
        <v>1.0453804629585398E-3</v>
      </c>
    </row>
    <row r="48" spans="1:17">
      <c r="A48" s="91" t="s">
        <v>254</v>
      </c>
      <c r="B48" s="311">
        <v>1.8034516196666318E-3</v>
      </c>
      <c r="C48" s="312">
        <v>2.2968274808751223E-3</v>
      </c>
      <c r="D48" s="312">
        <v>1.8718325906180329E-3</v>
      </c>
      <c r="E48" s="312">
        <v>2E-3</v>
      </c>
      <c r="F48" s="230">
        <v>1.1776955742976644E-2</v>
      </c>
      <c r="G48" s="230">
        <v>1.1482412482294915E-2</v>
      </c>
      <c r="H48" s="230">
        <v>1.3625366102126576E-2</v>
      </c>
      <c r="I48" s="230">
        <v>1.4230876310838515E-2</v>
      </c>
      <c r="J48" s="230">
        <v>1.9586354667577469E-2</v>
      </c>
      <c r="K48" s="230">
        <v>2.0362187198245528E-2</v>
      </c>
      <c r="L48" s="230">
        <v>2.0660431805218517E-2</v>
      </c>
      <c r="M48" s="230">
        <v>3.4010339581027241E-2</v>
      </c>
      <c r="N48" s="230">
        <v>2.818041637671545E-2</v>
      </c>
      <c r="O48" s="230">
        <v>1.8775525212454174E-2</v>
      </c>
      <c r="P48" s="123"/>
      <c r="Q48" s="208">
        <v>-4.9337586120849048E-4</v>
      </c>
    </row>
    <row r="49" spans="1:17">
      <c r="A49" s="91" t="s">
        <v>255</v>
      </c>
      <c r="B49" s="311">
        <v>5.3998201050839837E-3</v>
      </c>
      <c r="C49" s="312">
        <v>5.9546704581318593E-3</v>
      </c>
      <c r="D49" s="312">
        <v>5.5276630919458359E-3</v>
      </c>
      <c r="E49" s="312">
        <v>7.8267747726854086E-3</v>
      </c>
      <c r="F49" s="230">
        <v>8.5520712786800561E-3</v>
      </c>
      <c r="G49" s="230">
        <v>5.3396183294490092E-2</v>
      </c>
      <c r="H49" s="230">
        <v>5.1783673204345793E-2</v>
      </c>
      <c r="I49" s="230">
        <v>1.0473066979048588E-2</v>
      </c>
      <c r="J49" s="230">
        <v>1.7516984057767793E-2</v>
      </c>
      <c r="K49" s="230">
        <v>2.0476991699357343E-2</v>
      </c>
      <c r="L49" s="230">
        <v>1.9918581073616635E-2</v>
      </c>
      <c r="M49" s="230">
        <v>6.8118856203987957E-2</v>
      </c>
      <c r="N49" s="230">
        <v>7.6134060268394366E-2</v>
      </c>
      <c r="O49" s="230">
        <v>9.649976628033792E-2</v>
      </c>
      <c r="P49" s="123"/>
      <c r="Q49" s="208">
        <v>-5.5485035304787562E-4</v>
      </c>
    </row>
    <row r="50" spans="1:17">
      <c r="A50" s="91" t="s">
        <v>257</v>
      </c>
      <c r="B50" s="311">
        <v>2.4200370829808405E-2</v>
      </c>
      <c r="C50" s="312">
        <v>2.4008840910249362E-2</v>
      </c>
      <c r="D50" s="312">
        <v>2.3410365252265457E-2</v>
      </c>
      <c r="E50" s="312">
        <v>2.1999999999999999E-2</v>
      </c>
      <c r="F50" s="230">
        <v>3.7461042738106083E-2</v>
      </c>
      <c r="G50" s="230">
        <v>3.9667569170268875E-2</v>
      </c>
      <c r="H50" s="230">
        <v>3.9960697514488747E-2</v>
      </c>
      <c r="I50" s="230">
        <v>2.7735801275410366E-2</v>
      </c>
      <c r="J50" s="230">
        <v>1.5164055195596576E-2</v>
      </c>
      <c r="K50" s="230">
        <v>1.6064014761718887E-2</v>
      </c>
      <c r="L50" s="230">
        <v>1.7885830472900589E-2</v>
      </c>
      <c r="M50" s="230">
        <v>4.7496847829759686E-2</v>
      </c>
      <c r="N50" s="230">
        <v>0.11541687010833059</v>
      </c>
      <c r="O50" s="230">
        <v>0.11413479184889827</v>
      </c>
      <c r="P50" s="123"/>
      <c r="Q50" s="208">
        <v>1.915299195590428E-4</v>
      </c>
    </row>
    <row r="51" spans="1:17">
      <c r="A51" s="91" t="s">
        <v>256</v>
      </c>
      <c r="B51" s="311">
        <v>2.3509347410568655E-2</v>
      </c>
      <c r="C51" s="312">
        <v>2.4319490870515464E-2</v>
      </c>
      <c r="D51" s="312">
        <v>2.4882282780994414E-2</v>
      </c>
      <c r="E51" s="312">
        <v>3.3404511639509339E-2</v>
      </c>
      <c r="F51" s="230">
        <v>3.4615602610935138E-2</v>
      </c>
      <c r="G51" s="230">
        <v>3.9962623358194511E-2</v>
      </c>
      <c r="H51" s="230">
        <v>4.2302029376663212E-2</v>
      </c>
      <c r="I51" s="230">
        <v>4.3751972680053916E-2</v>
      </c>
      <c r="J51" s="230">
        <v>4.7547944279560772E-2</v>
      </c>
      <c r="K51" s="230">
        <v>4.9800721869114301E-2</v>
      </c>
      <c r="L51" s="230">
        <v>5.3218489858992434E-2</v>
      </c>
      <c r="M51" s="230">
        <v>0.12912030220638557</v>
      </c>
      <c r="N51" s="230">
        <v>0.13986621691828219</v>
      </c>
      <c r="O51" s="230">
        <v>0.14952211677648503</v>
      </c>
      <c r="P51" s="123"/>
      <c r="Q51" s="208">
        <v>-8.1014345994680909E-4</v>
      </c>
    </row>
    <row r="52" spans="1:17">
      <c r="A52" s="91" t="s">
        <v>258</v>
      </c>
      <c r="B52" s="311">
        <v>3.4131521558583518E-2</v>
      </c>
      <c r="C52" s="312">
        <v>3.472590477649163E-2</v>
      </c>
      <c r="D52" s="312">
        <v>4.9988883704763724E-2</v>
      </c>
      <c r="E52" s="312">
        <v>5.1168820902011934E-2</v>
      </c>
      <c r="F52" s="230">
        <v>5.0052382585491668E-2</v>
      </c>
      <c r="G52" s="230">
        <v>5.2965119106675736E-2</v>
      </c>
      <c r="H52" s="230">
        <v>6.0218149177028092E-2</v>
      </c>
      <c r="I52" s="230">
        <v>9.726149099871903E-2</v>
      </c>
      <c r="J52" s="230">
        <v>9.5222013639617659E-2</v>
      </c>
      <c r="K52" s="230">
        <v>9.3759425131716034E-2</v>
      </c>
      <c r="L52" s="230">
        <v>0.10459630034867892</v>
      </c>
      <c r="M52" s="230">
        <v>0.13598103608354434</v>
      </c>
      <c r="N52" s="230">
        <v>0.11477825528638122</v>
      </c>
      <c r="O52" s="230">
        <v>0.13977336830115394</v>
      </c>
      <c r="P52" s="123"/>
      <c r="Q52" s="208">
        <v>-5.943832179081121E-4</v>
      </c>
    </row>
    <row r="53" spans="1:17">
      <c r="A53" s="91" t="s">
        <v>259</v>
      </c>
      <c r="B53" s="311">
        <v>1.1981103080018201E-3</v>
      </c>
      <c r="C53" s="312">
        <v>2.0839926962872794E-3</v>
      </c>
      <c r="D53" s="312">
        <v>2.373146832768732E-3</v>
      </c>
      <c r="E53" s="312">
        <v>3.6396036333224383E-3</v>
      </c>
      <c r="F53" s="230">
        <v>3.5425225438324402E-3</v>
      </c>
      <c r="G53" s="230">
        <v>3.3608270150584222E-3</v>
      </c>
      <c r="H53" s="230">
        <v>3.9358785601868304E-3</v>
      </c>
      <c r="I53" s="230">
        <v>4.6240587887300139E-3</v>
      </c>
      <c r="J53" s="230">
        <v>7.3785959624757327E-3</v>
      </c>
      <c r="K53" s="230">
        <v>8.8890107637996877E-3</v>
      </c>
      <c r="L53" s="230">
        <v>1.0187911995083003E-2</v>
      </c>
      <c r="M53" s="230">
        <v>2.4087259506135435E-2</v>
      </c>
      <c r="N53" s="230">
        <v>2.8532689849601604E-2</v>
      </c>
      <c r="O53" s="230">
        <v>3.1186065964695413E-2</v>
      </c>
      <c r="P53" s="123"/>
      <c r="Q53" s="208">
        <v>-8.8588238828545929E-4</v>
      </c>
    </row>
    <row r="54" spans="1:17">
      <c r="A54" s="91"/>
      <c r="B54" s="91"/>
      <c r="C54" s="91"/>
      <c r="D54" s="91"/>
      <c r="E54" s="91"/>
      <c r="F54" s="91"/>
      <c r="G54" s="91"/>
      <c r="H54" s="91"/>
      <c r="I54" s="91"/>
      <c r="J54" s="91"/>
      <c r="K54" s="91"/>
      <c r="L54" s="91"/>
      <c r="M54" s="91"/>
      <c r="N54" s="91"/>
      <c r="O54" s="91"/>
      <c r="P54" s="123"/>
      <c r="Q54" s="123"/>
    </row>
    <row r="55" spans="1:17">
      <c r="A55" s="121" t="s">
        <v>568</v>
      </c>
      <c r="B55" s="121"/>
      <c r="C55" s="121"/>
      <c r="D55" s="121"/>
      <c r="E55" s="121"/>
      <c r="F55" s="121"/>
      <c r="G55" s="121"/>
      <c r="H55" s="121"/>
      <c r="I55" s="121"/>
      <c r="J55" s="121"/>
      <c r="K55" s="121"/>
      <c r="L55" s="121"/>
      <c r="M55" s="121"/>
      <c r="N55" s="121"/>
      <c r="O55" s="121"/>
      <c r="P55" s="131"/>
      <c r="Q55" s="131"/>
    </row>
    <row r="56" spans="1:17">
      <c r="A56" s="91" t="s">
        <v>591</v>
      </c>
      <c r="B56" s="186">
        <v>9.515864657550081E-3</v>
      </c>
      <c r="C56" s="230">
        <v>9.787638773409147E-3</v>
      </c>
      <c r="D56" s="230">
        <v>1.2219283002578888E-2</v>
      </c>
      <c r="E56" s="230">
        <v>1.6115903230336095E-2</v>
      </c>
      <c r="F56" s="230">
        <v>1.1974936599679555E-2</v>
      </c>
      <c r="G56" s="230">
        <v>2.6532483492580149E-2</v>
      </c>
      <c r="H56" s="230">
        <v>2.8067798594942999E-2</v>
      </c>
      <c r="I56" s="230">
        <v>2.2074227494453719E-2</v>
      </c>
      <c r="J56" s="230">
        <v>1.3343509403834464E-2</v>
      </c>
      <c r="K56" s="230">
        <v>1.3384528379595338E-2</v>
      </c>
      <c r="L56" s="230">
        <v>1.4508262157398442E-2</v>
      </c>
      <c r="M56" s="230">
        <v>2.3937390004715856E-3</v>
      </c>
      <c r="N56" s="230">
        <v>9.1886020113898792E-3</v>
      </c>
      <c r="O56" s="230">
        <v>1.0482284335307087E-2</v>
      </c>
      <c r="P56" s="128"/>
      <c r="Q56" s="208">
        <v>-2.7177411585906606E-4</v>
      </c>
    </row>
    <row r="57" spans="1:17">
      <c r="A57" s="38" t="s">
        <v>541</v>
      </c>
      <c r="B57" s="129"/>
      <c r="C57" s="129"/>
      <c r="D57" s="129"/>
      <c r="E57" s="129"/>
      <c r="F57" s="129"/>
      <c r="G57" s="129"/>
      <c r="H57" s="129"/>
      <c r="I57" s="129"/>
      <c r="J57" s="129"/>
      <c r="K57" s="129"/>
      <c r="L57" s="129"/>
      <c r="M57" s="230">
        <v>2.4381199352817358E-2</v>
      </c>
      <c r="N57" s="230">
        <v>2.923332097591002E-2</v>
      </c>
      <c r="O57" s="230">
        <v>2.9880950218647041E-2</v>
      </c>
      <c r="P57" s="128"/>
      <c r="Q57" s="208">
        <v>0</v>
      </c>
    </row>
    <row r="58" spans="1:17">
      <c r="A58" s="38" t="s">
        <v>383</v>
      </c>
      <c r="B58" s="186">
        <v>0</v>
      </c>
      <c r="C58" s="230">
        <v>0</v>
      </c>
      <c r="D58" s="230">
        <v>0</v>
      </c>
      <c r="E58" s="230">
        <v>5.696092843889486E-5</v>
      </c>
      <c r="F58" s="230">
        <v>5.8491432832947251E-5</v>
      </c>
      <c r="G58" s="230">
        <v>5.9487707382553807E-5</v>
      </c>
      <c r="H58" s="230">
        <v>5.7697578144157399E-5</v>
      </c>
      <c r="I58" s="230">
        <v>6.0525034499269666E-5</v>
      </c>
      <c r="J58" s="230">
        <v>6.0450268140117964E-5</v>
      </c>
      <c r="K58" s="230">
        <v>5.9891895129291625E-5</v>
      </c>
      <c r="L58" s="230">
        <v>5.8359400532237736E-5</v>
      </c>
      <c r="M58" s="129"/>
      <c r="N58" s="129"/>
      <c r="O58" s="129"/>
      <c r="P58" s="128"/>
      <c r="Q58" s="208">
        <v>0</v>
      </c>
    </row>
    <row r="59" spans="1:17">
      <c r="A59" s="91" t="s">
        <v>261</v>
      </c>
      <c r="B59" s="186">
        <v>1.0839844827084872E-2</v>
      </c>
      <c r="C59" s="230">
        <v>9.6922436992898705E-3</v>
      </c>
      <c r="D59" s="230">
        <v>8.8728579132891904E-3</v>
      </c>
      <c r="E59" s="230">
        <v>8.4173289547629371E-3</v>
      </c>
      <c r="F59" s="230">
        <v>8.3612414621484343E-3</v>
      </c>
      <c r="G59" s="230">
        <v>6.2507476053625154E-3</v>
      </c>
      <c r="H59" s="230">
        <v>6.1786725240982826E-3</v>
      </c>
      <c r="I59" s="230">
        <v>3.9579741809789839E-3</v>
      </c>
      <c r="J59" s="230">
        <v>3.1653991345364928E-3</v>
      </c>
      <c r="K59" s="230">
        <v>2.8729942461698313E-3</v>
      </c>
      <c r="L59" s="230">
        <v>3.1591424001971937E-3</v>
      </c>
      <c r="M59" s="230">
        <v>5.1085532020138562E-3</v>
      </c>
      <c r="N59" s="230">
        <v>4.6175677991122308E-3</v>
      </c>
      <c r="O59" s="230">
        <v>1.0971141058639364E-2</v>
      </c>
      <c r="P59" s="128"/>
      <c r="Q59" s="208">
        <v>1.1476011277950018E-3</v>
      </c>
    </row>
    <row r="60" spans="1:17">
      <c r="A60" s="91" t="s">
        <v>262</v>
      </c>
      <c r="B60" s="186">
        <v>5.1224191200969858E-3</v>
      </c>
      <c r="C60" s="230">
        <v>4.8057204864894463E-3</v>
      </c>
      <c r="D60" s="230">
        <v>5.2342210693620671E-3</v>
      </c>
      <c r="E60" s="230">
        <v>5.1308310804650979E-3</v>
      </c>
      <c r="F60" s="230">
        <v>5.1061416213770321E-3</v>
      </c>
      <c r="G60" s="230">
        <v>6.2874775421319909E-3</v>
      </c>
      <c r="H60" s="230">
        <v>7.024399715304489E-3</v>
      </c>
      <c r="I60" s="230">
        <v>7.3980265079559389E-3</v>
      </c>
      <c r="J60" s="230">
        <v>7.173925506065733E-3</v>
      </c>
      <c r="K60" s="230">
        <v>6.6767322008918452E-3</v>
      </c>
      <c r="L60" s="230">
        <v>8.9850929140289967E-3</v>
      </c>
      <c r="M60" s="230">
        <v>1.1376162478927317E-2</v>
      </c>
      <c r="N60" s="230">
        <v>1.151513187601586E-2</v>
      </c>
      <c r="O60" s="230">
        <v>1.2825322116249219E-2</v>
      </c>
      <c r="P60" s="128"/>
      <c r="Q60" s="208">
        <v>3.1669863360753951E-4</v>
      </c>
    </row>
    <row r="61" spans="1:17">
      <c r="A61" s="91" t="s">
        <v>263</v>
      </c>
      <c r="B61" s="186">
        <v>8.3056307538374504E-3</v>
      </c>
      <c r="C61" s="230">
        <v>7.8823186995128428E-3</v>
      </c>
      <c r="D61" s="230">
        <v>8.3332453083483221E-3</v>
      </c>
      <c r="E61" s="230">
        <v>7.705858997043325E-3</v>
      </c>
      <c r="F61" s="230">
        <v>9.4143263639737719E-3</v>
      </c>
      <c r="G61" s="230">
        <v>9.9941697314243402E-3</v>
      </c>
      <c r="H61" s="230">
        <v>1.066265945114251E-2</v>
      </c>
      <c r="I61" s="230">
        <v>1.1745425902528507E-2</v>
      </c>
      <c r="J61" s="230">
        <v>1.2678633154184197E-2</v>
      </c>
      <c r="K61" s="230">
        <v>1.4522423528898773E-2</v>
      </c>
      <c r="L61" s="230">
        <v>1.6919172325694631E-2</v>
      </c>
      <c r="M61" s="230">
        <v>2.0900818633866641E-2</v>
      </c>
      <c r="N61" s="230">
        <v>2.2313333238603138E-2</v>
      </c>
      <c r="O61" s="230">
        <v>2.398182950475021E-2</v>
      </c>
      <c r="P61" s="128"/>
      <c r="Q61" s="208">
        <v>4.2331205432460765E-4</v>
      </c>
    </row>
    <row r="62" spans="1:17">
      <c r="A62" s="91" t="s">
        <v>264</v>
      </c>
      <c r="B62" s="186">
        <v>0.85734045897516509</v>
      </c>
      <c r="C62" s="230">
        <v>0.84769120240350071</v>
      </c>
      <c r="D62" s="230">
        <v>0.72637517630465442</v>
      </c>
      <c r="E62" s="230">
        <v>0.66606191178138108</v>
      </c>
      <c r="F62" s="230">
        <v>0.8972892561983471</v>
      </c>
      <c r="G62" s="230">
        <v>0.51303401011977201</v>
      </c>
      <c r="H62" s="230">
        <v>0.48393923060030741</v>
      </c>
      <c r="I62" s="230">
        <v>0.55765655806966485</v>
      </c>
      <c r="J62" s="230">
        <v>0.56765506585240233</v>
      </c>
      <c r="K62" s="230">
        <v>0.59606345475910694</v>
      </c>
      <c r="L62" s="230">
        <v>0.4202575695661917</v>
      </c>
      <c r="M62" s="230">
        <v>0.67196952145596833</v>
      </c>
      <c r="N62" s="230">
        <v>0.73226582870896573</v>
      </c>
      <c r="O62" s="230">
        <v>0.73726137599413022</v>
      </c>
      <c r="P62" s="128"/>
      <c r="Q62" s="208">
        <v>9.6492565716643774E-3</v>
      </c>
    </row>
    <row r="63" spans="1:17">
      <c r="A63" s="91" t="s">
        <v>265</v>
      </c>
      <c r="B63" s="186">
        <v>0.54083560781020368</v>
      </c>
      <c r="C63" s="230">
        <v>0.45627953100390828</v>
      </c>
      <c r="D63" s="230">
        <v>0.40906193301623106</v>
      </c>
      <c r="E63" s="230">
        <v>0.41381564611026367</v>
      </c>
      <c r="F63" s="230">
        <v>0.3517344425150426</v>
      </c>
      <c r="G63" s="230">
        <v>0.36401884887243352</v>
      </c>
      <c r="H63" s="230">
        <v>0.43316348813509975</v>
      </c>
      <c r="I63" s="230">
        <v>0.39835301946431539</v>
      </c>
      <c r="J63" s="230">
        <v>0.39777579187766854</v>
      </c>
      <c r="K63" s="230">
        <v>0.44245633110359989</v>
      </c>
      <c r="L63" s="230">
        <v>0.49649314846347198</v>
      </c>
      <c r="M63" s="230">
        <v>0.49272316776658565</v>
      </c>
      <c r="N63" s="230">
        <v>0.50077765194412982</v>
      </c>
      <c r="O63" s="230">
        <v>0.49732636119235429</v>
      </c>
      <c r="P63" s="128"/>
      <c r="Q63" s="208">
        <v>8.4556076806295399E-2</v>
      </c>
    </row>
    <row r="64" spans="1:17">
      <c r="A64" s="91" t="s">
        <v>266</v>
      </c>
      <c r="B64" s="186">
        <v>0.85826068566863267</v>
      </c>
      <c r="C64" s="230">
        <v>0.75157044878792245</v>
      </c>
      <c r="D64" s="230">
        <v>0.71830931796349662</v>
      </c>
      <c r="E64" s="230">
        <v>0.73566627749203239</v>
      </c>
      <c r="F64" s="230">
        <v>0.71378520979313809</v>
      </c>
      <c r="G64" s="230">
        <v>0.69382544103992572</v>
      </c>
      <c r="H64" s="230">
        <v>0.67884039393080331</v>
      </c>
      <c r="I64" s="230">
        <v>0.65824041171425074</v>
      </c>
      <c r="J64" s="230">
        <v>0.63494658364397427</v>
      </c>
      <c r="K64" s="230">
        <v>0.63401289849313813</v>
      </c>
      <c r="L64" s="230">
        <v>0.62150276973624896</v>
      </c>
      <c r="M64" s="230">
        <v>0.68232310237088767</v>
      </c>
      <c r="N64" s="230">
        <v>0.74928660862475616</v>
      </c>
      <c r="O64" s="230">
        <v>0.77399808956245275</v>
      </c>
      <c r="P64" s="128"/>
      <c r="Q64" s="208">
        <v>0.10669023688071022</v>
      </c>
    </row>
    <row r="65" spans="1:17">
      <c r="A65" s="91" t="s">
        <v>267</v>
      </c>
      <c r="B65" s="186">
        <v>1</v>
      </c>
      <c r="C65" s="230">
        <v>1</v>
      </c>
      <c r="D65" s="230">
        <v>0.99979209979209982</v>
      </c>
      <c r="E65" s="230">
        <v>0.99978127734033251</v>
      </c>
      <c r="F65" s="230">
        <v>1</v>
      </c>
      <c r="G65" s="230">
        <v>1</v>
      </c>
      <c r="H65" s="230">
        <v>1</v>
      </c>
      <c r="I65" s="230">
        <v>1</v>
      </c>
      <c r="J65" s="230">
        <v>1</v>
      </c>
      <c r="K65" s="230">
        <v>1</v>
      </c>
      <c r="L65" s="230">
        <v>1</v>
      </c>
      <c r="M65" s="230">
        <v>1</v>
      </c>
      <c r="N65" s="230">
        <v>0.99996979673200637</v>
      </c>
      <c r="O65" s="230">
        <v>1</v>
      </c>
      <c r="P65" s="128"/>
      <c r="Q65" s="208">
        <v>0</v>
      </c>
    </row>
    <row r="66" spans="1:17">
      <c r="A66" s="91" t="s">
        <v>268</v>
      </c>
      <c r="B66" s="186">
        <v>0.99980928768952038</v>
      </c>
      <c r="C66" s="230">
        <v>0.99980928768952038</v>
      </c>
      <c r="D66" s="230">
        <v>0.99985070170200063</v>
      </c>
      <c r="E66" s="230">
        <v>0.99971108107271467</v>
      </c>
      <c r="F66" s="230">
        <v>0.99960025667729147</v>
      </c>
      <c r="G66" s="230">
        <v>0.99954587532531047</v>
      </c>
      <c r="H66" s="230">
        <v>0.99950966540897224</v>
      </c>
      <c r="I66" s="230">
        <v>0.99944684232669023</v>
      </c>
      <c r="J66" s="230">
        <v>0.99944805472143194</v>
      </c>
      <c r="K66" s="230">
        <v>0.99940223855561316</v>
      </c>
      <c r="L66" s="230">
        <v>0.99935433343895164</v>
      </c>
      <c r="M66" s="230">
        <v>0.99983082902453413</v>
      </c>
      <c r="N66" s="230">
        <v>0.99994301259828633</v>
      </c>
      <c r="O66" s="230">
        <v>0.99990784566196256</v>
      </c>
      <c r="P66" s="128"/>
      <c r="Q66" s="208">
        <v>0</v>
      </c>
    </row>
    <row r="67" spans="1:17">
      <c r="A67" s="91"/>
      <c r="B67" s="91"/>
      <c r="C67" s="91"/>
      <c r="D67" s="91"/>
      <c r="E67" s="91"/>
      <c r="F67" s="91"/>
      <c r="G67" s="91"/>
      <c r="H67" s="91"/>
      <c r="I67" s="91"/>
      <c r="J67" s="91"/>
      <c r="K67" s="91"/>
      <c r="L67" s="91"/>
      <c r="M67" s="91"/>
      <c r="N67" s="91"/>
      <c r="O67" s="91"/>
      <c r="P67" s="123"/>
      <c r="Q67" s="123"/>
    </row>
    <row r="68" spans="1:17">
      <c r="A68" s="121" t="s">
        <v>569</v>
      </c>
      <c r="B68" s="121"/>
      <c r="C68" s="121"/>
      <c r="D68" s="121"/>
      <c r="E68" s="121"/>
      <c r="F68" s="121"/>
      <c r="G68" s="121"/>
      <c r="H68" s="121"/>
      <c r="I68" s="121"/>
      <c r="J68" s="121"/>
      <c r="K68" s="121"/>
      <c r="L68" s="121"/>
      <c r="M68" s="121"/>
      <c r="N68" s="121"/>
      <c r="O68" s="121"/>
      <c r="P68" s="131"/>
      <c r="Q68" s="131"/>
    </row>
    <row r="69" spans="1:17">
      <c r="A69" s="214" t="s">
        <v>621</v>
      </c>
      <c r="B69" s="220">
        <v>10740.781999999999</v>
      </c>
      <c r="C69" s="152">
        <v>10543.403</v>
      </c>
      <c r="D69" s="152">
        <v>10261.412</v>
      </c>
      <c r="E69" s="152">
        <v>10189.196</v>
      </c>
      <c r="F69" s="152">
        <v>10257.984</v>
      </c>
      <c r="G69" s="152">
        <v>10209.594999999999</v>
      </c>
      <c r="H69" s="152">
        <v>10001.241</v>
      </c>
      <c r="I69" s="152">
        <v>10100.687</v>
      </c>
      <c r="J69" s="152">
        <v>10205.719999999999</v>
      </c>
      <c r="K69" s="152">
        <v>10199.438</v>
      </c>
      <c r="L69" s="152">
        <v>10131.694</v>
      </c>
      <c r="M69" s="152">
        <v>10797.394</v>
      </c>
      <c r="N69" s="152">
        <v>10902.355</v>
      </c>
      <c r="O69" s="152">
        <v>10814.794</v>
      </c>
      <c r="P69" s="123"/>
      <c r="Q69" s="210">
        <v>1.8720616104686408E-2</v>
      </c>
    </row>
    <row r="70" spans="1:17">
      <c r="A70" s="91" t="s">
        <v>622</v>
      </c>
      <c r="B70" s="221">
        <v>52.795000000000002</v>
      </c>
      <c r="C70" s="124">
        <v>57.04</v>
      </c>
      <c r="D70" s="124">
        <v>58.5</v>
      </c>
      <c r="E70" s="124">
        <v>60.893999999999998</v>
      </c>
      <c r="F70" s="124">
        <v>59.567999999999998</v>
      </c>
      <c r="G70" s="124">
        <v>66.753</v>
      </c>
      <c r="H70" s="124">
        <v>68.587000000000003</v>
      </c>
      <c r="I70" s="124">
        <v>66.332999999999998</v>
      </c>
      <c r="J70" s="124">
        <v>71.736999999999995</v>
      </c>
      <c r="K70" s="124">
        <v>78.382999999999996</v>
      </c>
      <c r="L70" s="124">
        <v>85.759</v>
      </c>
      <c r="M70" s="124">
        <v>115.976</v>
      </c>
      <c r="N70" s="124">
        <v>144.673</v>
      </c>
      <c r="O70" s="124">
        <v>149.624</v>
      </c>
      <c r="P70" s="123"/>
      <c r="Q70" s="208">
        <v>-7.4421458625525905E-2</v>
      </c>
    </row>
    <row r="71" spans="1:17">
      <c r="A71" s="214" t="s">
        <v>270</v>
      </c>
      <c r="B71" s="220">
        <v>10793.576999999999</v>
      </c>
      <c r="C71" s="152">
        <v>10600.442999999999</v>
      </c>
      <c r="D71" s="152">
        <v>10319.912</v>
      </c>
      <c r="E71" s="152">
        <v>10250.09</v>
      </c>
      <c r="F71" s="152">
        <v>10317.552</v>
      </c>
      <c r="G71" s="152">
        <v>10276.348</v>
      </c>
      <c r="H71" s="152">
        <v>10069.828</v>
      </c>
      <c r="I71" s="152">
        <v>10167.02</v>
      </c>
      <c r="J71" s="152">
        <v>10277.457</v>
      </c>
      <c r="K71" s="152">
        <v>10277.821</v>
      </c>
      <c r="L71" s="152">
        <v>10217.453</v>
      </c>
      <c r="M71" s="152">
        <v>10913.37</v>
      </c>
      <c r="N71" s="152">
        <v>11047.028</v>
      </c>
      <c r="O71" s="152">
        <v>10964.418</v>
      </c>
      <c r="P71" s="123"/>
      <c r="Q71" s="210">
        <v>1.8219427244691569E-2</v>
      </c>
    </row>
    <row r="72" spans="1:17">
      <c r="A72" s="214" t="s">
        <v>271</v>
      </c>
      <c r="B72" s="220">
        <v>10591.064</v>
      </c>
      <c r="C72" s="152">
        <v>10386.699000000001</v>
      </c>
      <c r="D72" s="152">
        <v>10099.959999999999</v>
      </c>
      <c r="E72" s="152">
        <v>9967.2350000000006</v>
      </c>
      <c r="F72" s="152">
        <v>9989.0010000000002</v>
      </c>
      <c r="G72" s="152">
        <v>9897.3870000000006</v>
      </c>
      <c r="H72" s="152">
        <v>9674.4719999999998</v>
      </c>
      <c r="I72" s="152">
        <v>9774.77</v>
      </c>
      <c r="J72" s="152">
        <v>9880.5259999999998</v>
      </c>
      <c r="K72" s="152">
        <v>9859.7549999999992</v>
      </c>
      <c r="L72" s="152">
        <v>9788.3349999999991</v>
      </c>
      <c r="M72" s="152">
        <v>9873.9639999999999</v>
      </c>
      <c r="N72" s="152">
        <v>9839.7105773195872</v>
      </c>
      <c r="O72" s="152">
        <v>9681.0135773195871</v>
      </c>
      <c r="P72" s="123"/>
      <c r="Q72" s="210">
        <v>1.9675644783775842E-2</v>
      </c>
    </row>
    <row r="73" spans="1:17">
      <c r="A73" s="214" t="s">
        <v>272</v>
      </c>
      <c r="B73" s="220">
        <v>14.285</v>
      </c>
      <c r="C73" s="152">
        <v>23.95</v>
      </c>
      <c r="D73" s="152">
        <v>18.844999999999999</v>
      </c>
      <c r="E73" s="152">
        <v>36.359000000000002</v>
      </c>
      <c r="F73" s="152">
        <v>34.979999999999997</v>
      </c>
      <c r="G73" s="152">
        <v>31.744</v>
      </c>
      <c r="H73" s="152">
        <v>29.905999999999999</v>
      </c>
      <c r="I73" s="152">
        <v>33.865000000000002</v>
      </c>
      <c r="J73" s="152">
        <v>25.84</v>
      </c>
      <c r="K73" s="152">
        <v>28.88</v>
      </c>
      <c r="L73" s="152">
        <v>18.555</v>
      </c>
      <c r="M73" s="152">
        <v>20.943000000000001</v>
      </c>
      <c r="N73" s="152">
        <v>39.707999999999998</v>
      </c>
      <c r="O73" s="152">
        <v>36.088999999999999</v>
      </c>
      <c r="P73" s="123"/>
      <c r="Q73" s="210">
        <v>-0.40354906054279749</v>
      </c>
    </row>
    <row r="74" spans="1:17">
      <c r="A74" s="91" t="s">
        <v>273</v>
      </c>
      <c r="B74" s="221">
        <v>10.081</v>
      </c>
      <c r="C74" s="124">
        <v>12.563000000000001</v>
      </c>
      <c r="D74" s="124">
        <v>10.044</v>
      </c>
      <c r="E74" s="124">
        <v>20.585000000000001</v>
      </c>
      <c r="F74" s="124">
        <v>18.431999999999999</v>
      </c>
      <c r="G74" s="124">
        <v>18.893999999999998</v>
      </c>
      <c r="H74" s="124">
        <v>14.244</v>
      </c>
      <c r="I74" s="124">
        <v>18.369</v>
      </c>
      <c r="J74" s="124">
        <v>15.997</v>
      </c>
      <c r="K74" s="124">
        <v>16.908000000000001</v>
      </c>
      <c r="L74" s="124">
        <v>11.852</v>
      </c>
      <c r="M74" s="124">
        <v>13.31</v>
      </c>
      <c r="N74" s="124">
        <v>25.395</v>
      </c>
      <c r="O74" s="124">
        <v>30.902999999999999</v>
      </c>
      <c r="P74" s="123"/>
      <c r="Q74" s="208">
        <v>-0.19756427604871454</v>
      </c>
    </row>
    <row r="75" spans="1:17">
      <c r="A75" s="91" t="s">
        <v>274</v>
      </c>
      <c r="B75" s="221">
        <v>4.2039999999999997</v>
      </c>
      <c r="C75" s="124">
        <v>11.387</v>
      </c>
      <c r="D75" s="124">
        <v>8.8010000000000002</v>
      </c>
      <c r="E75" s="124">
        <v>15.773999999999999</v>
      </c>
      <c r="F75" s="124">
        <v>16.547999999999998</v>
      </c>
      <c r="G75" s="124">
        <v>12.85</v>
      </c>
      <c r="H75" s="124">
        <v>15.661999999999999</v>
      </c>
      <c r="I75" s="124">
        <v>15.496</v>
      </c>
      <c r="J75" s="124">
        <v>9.843</v>
      </c>
      <c r="K75" s="124">
        <v>11.972</v>
      </c>
      <c r="L75" s="124">
        <v>6.7030000000000003</v>
      </c>
      <c r="M75" s="124">
        <v>7.633</v>
      </c>
      <c r="N75" s="124">
        <v>14.313000000000001</v>
      </c>
      <c r="O75" s="124">
        <v>5.1859999999999999</v>
      </c>
      <c r="P75" s="123"/>
      <c r="Q75" s="208">
        <v>-0.63080706068323533</v>
      </c>
    </row>
    <row r="76" spans="1:17">
      <c r="A76" s="214" t="s">
        <v>275</v>
      </c>
      <c r="B76" s="220">
        <v>188.22800000000001</v>
      </c>
      <c r="C76" s="152">
        <v>189.79400000000001</v>
      </c>
      <c r="D76" s="152">
        <v>201.107</v>
      </c>
      <c r="E76" s="152">
        <v>246.49600000000001</v>
      </c>
      <c r="F76" s="152">
        <v>293.57100000000003</v>
      </c>
      <c r="G76" s="152">
        <v>347.21700000000004</v>
      </c>
      <c r="H76" s="152">
        <v>365.45</v>
      </c>
      <c r="I76" s="152">
        <v>358.38499999999999</v>
      </c>
      <c r="J76" s="152">
        <v>371.09100000000001</v>
      </c>
      <c r="K76" s="152">
        <v>389.18599999999998</v>
      </c>
      <c r="L76" s="152">
        <v>410.56299999999999</v>
      </c>
      <c r="M76" s="152">
        <v>1018.463</v>
      </c>
      <c r="N76" s="152">
        <v>1167.6094226804123</v>
      </c>
      <c r="O76" s="152">
        <v>1247.3154226804124</v>
      </c>
      <c r="P76" s="123"/>
      <c r="Q76" s="210">
        <v>-8.251051139656693E-3</v>
      </c>
    </row>
    <row r="77" spans="1:17">
      <c r="A77" s="91" t="s">
        <v>276</v>
      </c>
      <c r="B77" s="221">
        <v>78.611999999999995</v>
      </c>
      <c r="C77" s="124">
        <v>87.588999999999999</v>
      </c>
      <c r="D77" s="124">
        <v>98.813999999999993</v>
      </c>
      <c r="E77" s="124">
        <v>100.633</v>
      </c>
      <c r="F77" s="124">
        <v>108.495</v>
      </c>
      <c r="G77" s="124">
        <v>168.30799999999999</v>
      </c>
      <c r="H77" s="124">
        <v>185.12200000000001</v>
      </c>
      <c r="I77" s="124">
        <v>170.827</v>
      </c>
      <c r="J77" s="124">
        <v>150.63900000000001</v>
      </c>
      <c r="K77" s="124">
        <v>153.566</v>
      </c>
      <c r="L77" s="124">
        <v>169.40899999999999</v>
      </c>
      <c r="M77" s="124">
        <v>217.05500000000001</v>
      </c>
      <c r="N77" s="124">
        <v>306.52199999999999</v>
      </c>
      <c r="O77" s="124">
        <v>311.98399999999998</v>
      </c>
      <c r="P77" s="123"/>
      <c r="Q77" s="208">
        <v>-0.10249003870349022</v>
      </c>
    </row>
    <row r="78" spans="1:17">
      <c r="A78" s="91" t="s">
        <v>277</v>
      </c>
      <c r="B78" s="221">
        <v>1.163</v>
      </c>
      <c r="C78" s="124">
        <v>1.085</v>
      </c>
      <c r="D78" s="124">
        <v>1.302</v>
      </c>
      <c r="E78" s="124">
        <v>1.482</v>
      </c>
      <c r="F78" s="124">
        <v>29.786000000000001</v>
      </c>
      <c r="G78" s="124">
        <v>7.5510000000000002</v>
      </c>
      <c r="H78" s="124">
        <v>2.1579999999999999</v>
      </c>
      <c r="I78" s="124">
        <v>4.8920000000000003</v>
      </c>
      <c r="J78" s="124">
        <v>1.8260000000000001</v>
      </c>
      <c r="K78" s="124">
        <v>2.5720000000000001</v>
      </c>
      <c r="L78" s="124">
        <v>1.9419999999999999</v>
      </c>
      <c r="M78" s="124">
        <v>3.8460000000000001</v>
      </c>
      <c r="N78" s="124">
        <v>5.85</v>
      </c>
      <c r="O78" s="124">
        <v>2.6869999999999998</v>
      </c>
      <c r="P78" s="123"/>
      <c r="Q78" s="208">
        <v>7.1889400921659047E-2</v>
      </c>
    </row>
    <row r="79" spans="1:17">
      <c r="A79" s="91" t="s">
        <v>274</v>
      </c>
      <c r="B79" s="221">
        <v>2.4359999999999999</v>
      </c>
      <c r="C79" s="124">
        <v>4.5309999999999997</v>
      </c>
      <c r="D79" s="124">
        <v>1.806</v>
      </c>
      <c r="E79" s="124">
        <v>4.0579999999999998</v>
      </c>
      <c r="F79" s="124">
        <v>5.4809999999999999</v>
      </c>
      <c r="G79" s="124">
        <v>5.5940000000000003</v>
      </c>
      <c r="H79" s="124">
        <v>5.2549999999999999</v>
      </c>
      <c r="I79" s="124">
        <v>3.6280000000000001</v>
      </c>
      <c r="J79" s="124">
        <v>4.6100000000000003</v>
      </c>
      <c r="K79" s="124">
        <v>4.7850000000000001</v>
      </c>
      <c r="L79" s="124">
        <v>4.3289999999999997</v>
      </c>
      <c r="M79" s="124">
        <v>8.6679999999999993</v>
      </c>
      <c r="N79" s="124">
        <v>6.2549999999999999</v>
      </c>
      <c r="O79" s="124">
        <v>9.8780000000000001</v>
      </c>
      <c r="P79" s="123"/>
      <c r="Q79" s="208">
        <v>-0.46237033767380264</v>
      </c>
    </row>
    <row r="80" spans="1:17">
      <c r="A80" s="91" t="s">
        <v>278</v>
      </c>
      <c r="B80" s="221">
        <v>19.63</v>
      </c>
      <c r="C80" s="124">
        <v>5.4950000000000001</v>
      </c>
      <c r="D80" s="124">
        <v>7.1470000000000002</v>
      </c>
      <c r="E80" s="124">
        <v>6.6109999999999998</v>
      </c>
      <c r="F80" s="124">
        <v>16.059000000000001</v>
      </c>
      <c r="G80" s="124">
        <v>11.473000000000001</v>
      </c>
      <c r="H80" s="124">
        <v>11.46</v>
      </c>
      <c r="I80" s="124">
        <v>13.689</v>
      </c>
      <c r="J80" s="124">
        <v>12.436999999999999</v>
      </c>
      <c r="K80" s="124">
        <v>13.023999999999999</v>
      </c>
      <c r="L80" s="124">
        <v>12.455</v>
      </c>
      <c r="M80" s="124">
        <v>25.745000000000001</v>
      </c>
      <c r="N80" s="124">
        <v>13.339</v>
      </c>
      <c r="O80" s="124">
        <v>11.317</v>
      </c>
      <c r="P80" s="123"/>
      <c r="Q80" s="208">
        <v>2.5723384895359414</v>
      </c>
    </row>
    <row r="81" spans="1:18">
      <c r="A81" s="91" t="s">
        <v>279</v>
      </c>
      <c r="B81" s="221">
        <v>11.818</v>
      </c>
      <c r="C81" s="124">
        <v>11.944000000000001</v>
      </c>
      <c r="D81" s="124">
        <v>11.439</v>
      </c>
      <c r="E81" s="124">
        <v>16.564</v>
      </c>
      <c r="F81" s="124">
        <v>17.582999999999998</v>
      </c>
      <c r="G81" s="124">
        <v>20.756</v>
      </c>
      <c r="H81" s="124">
        <v>20.100999999999999</v>
      </c>
      <c r="I81" s="124">
        <v>17.446000000000002</v>
      </c>
      <c r="J81" s="124">
        <v>28.433</v>
      </c>
      <c r="K81" s="124">
        <v>32.429000000000002</v>
      </c>
      <c r="L81" s="124">
        <v>30.19</v>
      </c>
      <c r="M81" s="124">
        <v>22.166</v>
      </c>
      <c r="N81" s="124">
        <v>28.14</v>
      </c>
      <c r="O81" s="124">
        <v>40.354999999999997</v>
      </c>
      <c r="P81" s="123"/>
      <c r="Q81" s="208">
        <v>-1.054922973878108E-2</v>
      </c>
    </row>
    <row r="82" spans="1:18">
      <c r="A82" s="91" t="s">
        <v>280</v>
      </c>
      <c r="B82" s="221">
        <v>74.569000000000003</v>
      </c>
      <c r="C82" s="124">
        <v>79.150000000000006</v>
      </c>
      <c r="D82" s="124">
        <v>80.599000000000004</v>
      </c>
      <c r="E82" s="124">
        <v>117.148</v>
      </c>
      <c r="F82" s="124">
        <v>116.167</v>
      </c>
      <c r="G82" s="124">
        <v>133.535</v>
      </c>
      <c r="H82" s="124">
        <v>141.35400000000001</v>
      </c>
      <c r="I82" s="124">
        <v>147.90299999999999</v>
      </c>
      <c r="J82" s="124">
        <v>173.14599999999999</v>
      </c>
      <c r="K82" s="124">
        <v>182.81</v>
      </c>
      <c r="L82" s="124">
        <v>192.238</v>
      </c>
      <c r="M82" s="124">
        <v>740.98299999999995</v>
      </c>
      <c r="N82" s="124">
        <v>807.50342268041243</v>
      </c>
      <c r="O82" s="124">
        <v>871.09442268041232</v>
      </c>
      <c r="P82" s="123"/>
      <c r="Q82" s="208">
        <v>-5.7877447883765039E-2</v>
      </c>
    </row>
    <row r="83" spans="1:18">
      <c r="A83" s="214" t="s">
        <v>281</v>
      </c>
      <c r="B83" s="279">
        <v>1.7438797166129449E-2</v>
      </c>
      <c r="C83" s="280">
        <v>1.7904251737403808E-2</v>
      </c>
      <c r="D83" s="280">
        <v>1.9487181673642176E-2</v>
      </c>
      <c r="E83" s="280">
        <v>2.4048179089159218E-2</v>
      </c>
      <c r="F83" s="280">
        <v>2.8453648694961753E-2</v>
      </c>
      <c r="G83" s="280">
        <v>3.3788073350571622E-2</v>
      </c>
      <c r="H83" s="280">
        <v>3.6291586737289529E-2</v>
      </c>
      <c r="I83" s="280">
        <v>3.5249660175744713E-2</v>
      </c>
      <c r="J83" s="280">
        <v>3.6107278288782914E-2</v>
      </c>
      <c r="K83" s="280">
        <v>3.7866586701597545E-2</v>
      </c>
      <c r="L83" s="280">
        <v>4.0182519068108269E-2</v>
      </c>
      <c r="M83" s="280">
        <v>9.3322502581695652E-2</v>
      </c>
      <c r="N83" s="280">
        <v>0.10569440034007335</v>
      </c>
      <c r="O83" s="280">
        <v>0.11376007372210729</v>
      </c>
      <c r="P83" s="123"/>
      <c r="Q83" s="210">
        <v>-4.6545457127435824E-4</v>
      </c>
    </row>
    <row r="84" spans="1:18">
      <c r="A84" s="215" t="s">
        <v>623</v>
      </c>
      <c r="B84" s="220">
        <v>234.3</v>
      </c>
      <c r="C84" s="152">
        <v>231.285</v>
      </c>
      <c r="D84" s="152">
        <v>223.41200000000001</v>
      </c>
      <c r="E84" s="152">
        <v>236.654</v>
      </c>
      <c r="F84" s="152">
        <v>250.61</v>
      </c>
      <c r="G84" s="152">
        <v>267.42</v>
      </c>
      <c r="H84" s="152">
        <v>267.23200000000003</v>
      </c>
      <c r="I84" s="152">
        <v>274.536</v>
      </c>
      <c r="J84" s="152">
        <v>287.64499999999998</v>
      </c>
      <c r="K84" s="152">
        <v>282.411</v>
      </c>
      <c r="L84" s="152">
        <v>281.63</v>
      </c>
      <c r="M84" s="152">
        <v>610.24699999999996</v>
      </c>
      <c r="N84" s="152">
        <v>677.24</v>
      </c>
      <c r="O84" s="152">
        <v>734.06</v>
      </c>
      <c r="P84" s="123"/>
      <c r="Q84" s="210">
        <v>1.303586484207802E-2</v>
      </c>
    </row>
    <row r="85" spans="1:18">
      <c r="A85" s="214" t="s">
        <v>282</v>
      </c>
      <c r="B85" s="279">
        <v>2.1707353454179436E-2</v>
      </c>
      <c r="C85" s="280">
        <v>2.1818428121518334E-2</v>
      </c>
      <c r="D85" s="280">
        <v>2.1648633235627397E-2</v>
      </c>
      <c r="E85" s="280">
        <v>2.3087993135641558E-2</v>
      </c>
      <c r="F85" s="280">
        <v>2.4289677616628102E-2</v>
      </c>
      <c r="G85" s="280">
        <v>2.6022862595559478E-2</v>
      </c>
      <c r="H85" s="280">
        <v>2.6537892955835179E-2</v>
      </c>
      <c r="I85" s="280">
        <v>2.7002602325918397E-2</v>
      </c>
      <c r="J85" s="130">
        <v>2.7987952905404418E-2</v>
      </c>
      <c r="K85" s="130">
        <v>2.747770905349313E-2</v>
      </c>
      <c r="L85" s="130">
        <v>2.7563618511900641E-2</v>
      </c>
      <c r="M85" s="130">
        <v>5.5917375548664897E-2</v>
      </c>
      <c r="N85" s="130">
        <v>6.1305145898456911E-2</v>
      </c>
      <c r="O85" s="130">
        <v>6.6949257501675727E-2</v>
      </c>
      <c r="P85" s="123"/>
      <c r="Q85" s="210">
        <v>-1.1107466733889862E-4</v>
      </c>
    </row>
    <row r="86" spans="1:18">
      <c r="A86" s="214" t="s">
        <v>283</v>
      </c>
      <c r="B86" s="303">
        <v>1.2447731304059155</v>
      </c>
      <c r="C86" s="130">
        <v>1.21861947136389</v>
      </c>
      <c r="D86" s="130">
        <v>1.1109160452318394</v>
      </c>
      <c r="E86" s="130">
        <v>0.96007063597909392</v>
      </c>
      <c r="F86" s="130">
        <v>0.85365795834458047</v>
      </c>
      <c r="G86" s="130">
        <v>0.77017989269411968</v>
      </c>
      <c r="H86" s="130">
        <v>0.73124083015000763</v>
      </c>
      <c r="I86" s="130">
        <v>0.76603797021470688</v>
      </c>
      <c r="J86" s="130">
        <v>0.77513299673070846</v>
      </c>
      <c r="K86" s="130">
        <v>0.72564551280465006</v>
      </c>
      <c r="L86" s="130">
        <v>0.68596059769120721</v>
      </c>
      <c r="M86" s="130">
        <v>0.59918445311001767</v>
      </c>
      <c r="N86" s="130">
        <v>0.58002264354981636</v>
      </c>
      <c r="O86" s="130">
        <v>0.58851272202516425</v>
      </c>
      <c r="P86" s="123"/>
      <c r="Q86" s="210">
        <v>2.615365904202549E-2</v>
      </c>
    </row>
    <row r="87" spans="1:18">
      <c r="A87" s="91"/>
      <c r="B87" s="91"/>
      <c r="C87" s="91"/>
      <c r="D87" s="91"/>
      <c r="E87" s="91"/>
      <c r="F87" s="91"/>
      <c r="G87" s="91"/>
      <c r="H87" s="91"/>
      <c r="I87" s="91"/>
      <c r="J87" s="91"/>
      <c r="K87" s="91"/>
      <c r="L87" s="91"/>
      <c r="M87" s="91"/>
      <c r="N87" s="91"/>
      <c r="O87" s="91"/>
      <c r="P87" s="123"/>
      <c r="Q87" s="123"/>
    </row>
    <row r="88" spans="1:18">
      <c r="A88" s="91"/>
      <c r="B88" s="91"/>
      <c r="C88" s="91"/>
      <c r="D88" s="91"/>
      <c r="E88" s="91"/>
      <c r="F88" s="91"/>
      <c r="G88" s="91"/>
      <c r="H88" s="91"/>
      <c r="I88" s="91"/>
      <c r="J88" s="91"/>
      <c r="K88" s="91"/>
      <c r="L88" s="91"/>
      <c r="M88" s="91"/>
      <c r="N88" s="91"/>
      <c r="O88" s="91"/>
      <c r="P88" s="123"/>
      <c r="Q88" s="123"/>
    </row>
    <row r="89" spans="1:18" ht="24.95" customHeight="1">
      <c r="A89" s="326" t="s">
        <v>488</v>
      </c>
      <c r="B89" s="326"/>
      <c r="C89" s="326"/>
      <c r="D89" s="326"/>
      <c r="E89" s="326"/>
      <c r="F89" s="326"/>
      <c r="G89" s="326"/>
      <c r="H89" s="326"/>
      <c r="I89" s="326"/>
      <c r="J89" s="326"/>
      <c r="K89" s="326"/>
      <c r="L89" s="326"/>
      <c r="M89" s="326"/>
      <c r="N89" s="326"/>
      <c r="O89" s="326"/>
      <c r="P89" s="326"/>
      <c r="Q89" s="326"/>
    </row>
    <row r="90" spans="1:18" ht="24.95" customHeight="1">
      <c r="A90" s="326" t="s">
        <v>489</v>
      </c>
      <c r="B90" s="326"/>
      <c r="C90" s="326"/>
      <c r="D90" s="326"/>
      <c r="E90" s="326"/>
      <c r="F90" s="326"/>
      <c r="G90" s="326"/>
      <c r="H90" s="326"/>
      <c r="I90" s="326"/>
      <c r="J90" s="326"/>
      <c r="K90" s="326"/>
      <c r="L90" s="326"/>
      <c r="M90" s="326"/>
      <c r="N90" s="326"/>
      <c r="O90" s="326"/>
      <c r="P90" s="326"/>
      <c r="Q90" s="326"/>
    </row>
    <row r="91" spans="1:18" ht="24.95" customHeight="1">
      <c r="A91" s="326" t="s">
        <v>345</v>
      </c>
      <c r="B91" s="326"/>
      <c r="C91" s="326"/>
      <c r="D91" s="326"/>
      <c r="E91" s="326"/>
      <c r="F91" s="326"/>
      <c r="G91" s="326"/>
      <c r="H91" s="326"/>
      <c r="I91" s="326"/>
      <c r="J91" s="326"/>
      <c r="K91" s="326"/>
      <c r="L91" s="326"/>
      <c r="M91" s="326"/>
      <c r="N91" s="326"/>
      <c r="O91" s="326"/>
      <c r="P91" s="326"/>
      <c r="Q91" s="326"/>
      <c r="R91" s="213"/>
    </row>
    <row r="92" spans="1:18" ht="24.95" customHeight="1">
      <c r="A92" s="326" t="s">
        <v>386</v>
      </c>
      <c r="B92" s="326"/>
      <c r="C92" s="326"/>
      <c r="D92" s="326"/>
      <c r="E92" s="326"/>
      <c r="F92" s="326"/>
      <c r="G92" s="326"/>
      <c r="H92" s="326"/>
      <c r="I92" s="326"/>
      <c r="J92" s="326"/>
      <c r="K92" s="326"/>
      <c r="L92" s="326"/>
      <c r="M92" s="326"/>
      <c r="N92" s="326"/>
      <c r="O92" s="326"/>
      <c r="P92" s="326"/>
      <c r="Q92" s="326"/>
      <c r="R92" s="205"/>
    </row>
    <row r="93" spans="1:18" ht="24.95" customHeight="1">
      <c r="A93" s="326" t="s">
        <v>399</v>
      </c>
      <c r="B93" s="326"/>
      <c r="C93" s="326"/>
      <c r="D93" s="326"/>
      <c r="E93" s="326"/>
      <c r="F93" s="326"/>
      <c r="G93" s="326"/>
      <c r="H93" s="326"/>
      <c r="I93" s="326"/>
      <c r="J93" s="326"/>
      <c r="K93" s="326"/>
      <c r="L93" s="326"/>
      <c r="M93" s="326"/>
      <c r="N93" s="326"/>
      <c r="O93" s="326"/>
      <c r="P93" s="326"/>
      <c r="Q93" s="326"/>
      <c r="R93" s="205"/>
    </row>
    <row r="94" spans="1:18" ht="24.95" customHeight="1">
      <c r="A94" s="326" t="s">
        <v>542</v>
      </c>
      <c r="B94" s="326"/>
      <c r="C94" s="326"/>
      <c r="D94" s="326"/>
      <c r="E94" s="326"/>
      <c r="F94" s="326"/>
      <c r="G94" s="326"/>
      <c r="H94" s="326"/>
      <c r="I94" s="326"/>
      <c r="J94" s="326"/>
      <c r="K94" s="326"/>
      <c r="L94" s="326"/>
      <c r="M94" s="326"/>
      <c r="N94" s="326"/>
      <c r="O94" s="326"/>
      <c r="P94" s="326"/>
      <c r="Q94" s="326"/>
      <c r="R94" s="205"/>
    </row>
    <row r="95" spans="1:18" ht="21.75" customHeight="1">
      <c r="A95" s="326" t="s">
        <v>599</v>
      </c>
      <c r="B95" s="326"/>
      <c r="C95" s="326"/>
      <c r="D95" s="326"/>
      <c r="E95" s="326"/>
      <c r="F95" s="326"/>
      <c r="G95" s="326"/>
      <c r="H95" s="326"/>
      <c r="I95" s="326"/>
      <c r="J95" s="326"/>
      <c r="K95" s="326"/>
      <c r="L95" s="326"/>
      <c r="M95" s="326"/>
      <c r="N95" s="326"/>
      <c r="O95" s="326"/>
      <c r="P95" s="326"/>
      <c r="Q95" s="326"/>
    </row>
    <row r="96" spans="1:18" ht="22.5" customHeight="1">
      <c r="A96" s="326" t="s">
        <v>626</v>
      </c>
      <c r="B96" s="326"/>
      <c r="C96" s="326"/>
      <c r="D96" s="326"/>
      <c r="E96" s="326"/>
      <c r="F96" s="326"/>
      <c r="G96" s="326"/>
      <c r="H96" s="326"/>
      <c r="I96" s="326"/>
      <c r="J96" s="326"/>
      <c r="K96" s="326"/>
      <c r="L96" s="326"/>
      <c r="M96" s="326"/>
      <c r="N96" s="326"/>
      <c r="O96" s="326"/>
      <c r="P96" s="326"/>
      <c r="Q96" s="326"/>
    </row>
    <row r="97" spans="1:17">
      <c r="A97" s="91"/>
      <c r="B97" s="91"/>
      <c r="C97" s="91"/>
      <c r="D97" s="91"/>
      <c r="E97" s="91"/>
      <c r="F97" s="91"/>
      <c r="G97" s="91"/>
      <c r="H97" s="91"/>
      <c r="I97" s="91"/>
      <c r="J97" s="91"/>
      <c r="K97" s="91"/>
      <c r="L97" s="91"/>
      <c r="M97" s="91"/>
      <c r="N97" s="91"/>
      <c r="O97" s="91"/>
      <c r="P97" s="123"/>
      <c r="Q97" s="123"/>
    </row>
    <row r="98" spans="1:17">
      <c r="A98" s="91"/>
      <c r="B98" s="91"/>
      <c r="C98" s="91"/>
      <c r="D98" s="91"/>
      <c r="E98" s="91"/>
      <c r="F98" s="91"/>
      <c r="G98" s="91"/>
      <c r="H98" s="91"/>
      <c r="I98" s="91"/>
      <c r="J98" s="91"/>
      <c r="K98" s="91"/>
      <c r="L98" s="91"/>
      <c r="M98" s="91"/>
      <c r="N98" s="91"/>
      <c r="O98" s="91"/>
      <c r="P98" s="123"/>
      <c r="Q98" s="123"/>
    </row>
    <row r="99" spans="1:17">
      <c r="A99" s="91"/>
      <c r="B99" s="91"/>
      <c r="C99" s="91"/>
      <c r="D99" s="91"/>
      <c r="E99" s="91"/>
      <c r="F99" s="91"/>
      <c r="G99" s="91"/>
      <c r="H99" s="91"/>
      <c r="I99" s="91"/>
      <c r="J99" s="91"/>
      <c r="K99" s="91"/>
      <c r="L99" s="91"/>
      <c r="M99" s="91"/>
      <c r="N99" s="91"/>
      <c r="O99" s="91"/>
      <c r="P99" s="123"/>
      <c r="Q99" s="123"/>
    </row>
    <row r="100" spans="1:17">
      <c r="A100" s="91"/>
      <c r="B100" s="91"/>
      <c r="C100" s="91"/>
      <c r="D100" s="91"/>
      <c r="E100" s="91"/>
      <c r="F100" s="91"/>
      <c r="G100" s="91"/>
      <c r="H100" s="91"/>
      <c r="I100" s="91"/>
      <c r="J100" s="91"/>
      <c r="K100" s="91"/>
      <c r="L100" s="91"/>
      <c r="M100" s="91"/>
      <c r="N100" s="91"/>
      <c r="O100" s="91"/>
      <c r="P100" s="123"/>
      <c r="Q100" s="123"/>
    </row>
    <row r="101" spans="1:17">
      <c r="A101" s="91"/>
      <c r="B101" s="91"/>
      <c r="C101" s="91"/>
      <c r="D101" s="91"/>
      <c r="E101" s="91"/>
      <c r="F101" s="91"/>
      <c r="G101" s="91"/>
      <c r="H101" s="91"/>
      <c r="I101" s="91"/>
      <c r="J101" s="91"/>
      <c r="K101" s="91"/>
      <c r="L101" s="91"/>
      <c r="M101" s="91"/>
      <c r="N101" s="91"/>
      <c r="O101" s="91"/>
      <c r="P101" s="123"/>
      <c r="Q101" s="123"/>
    </row>
    <row r="102" spans="1:17">
      <c r="A102" s="91"/>
      <c r="B102" s="91"/>
      <c r="C102" s="91"/>
      <c r="D102" s="91"/>
      <c r="E102" s="91"/>
      <c r="F102" s="91"/>
      <c r="G102" s="91"/>
      <c r="H102" s="91"/>
      <c r="I102" s="91"/>
      <c r="J102" s="91"/>
      <c r="K102" s="91"/>
      <c r="L102" s="91"/>
      <c r="M102" s="91"/>
      <c r="N102" s="91"/>
      <c r="O102" s="91"/>
      <c r="P102" s="123"/>
      <c r="Q102" s="123"/>
    </row>
    <row r="103" spans="1:17">
      <c r="A103" s="91"/>
      <c r="B103" s="91"/>
      <c r="C103" s="91"/>
      <c r="D103" s="91"/>
      <c r="E103" s="91"/>
      <c r="F103" s="91"/>
      <c r="G103" s="91"/>
      <c r="H103" s="91"/>
      <c r="I103" s="91"/>
      <c r="J103" s="91"/>
      <c r="K103" s="91"/>
      <c r="L103" s="91"/>
      <c r="M103" s="91"/>
      <c r="N103" s="91"/>
      <c r="O103" s="91"/>
      <c r="P103" s="123"/>
      <c r="Q103" s="123"/>
    </row>
    <row r="104" spans="1:17">
      <c r="A104" s="91"/>
      <c r="B104" s="91"/>
      <c r="C104" s="91"/>
      <c r="D104" s="91"/>
      <c r="E104" s="91"/>
      <c r="F104" s="91"/>
      <c r="G104" s="91"/>
      <c r="H104" s="91"/>
      <c r="I104" s="91"/>
      <c r="J104" s="91"/>
      <c r="K104" s="91"/>
      <c r="L104" s="91"/>
      <c r="M104" s="91"/>
      <c r="N104" s="91"/>
      <c r="O104" s="91"/>
      <c r="P104" s="123"/>
      <c r="Q104" s="123"/>
    </row>
    <row r="105" spans="1:17">
      <c r="A105" s="91"/>
      <c r="B105" s="91"/>
      <c r="C105" s="91"/>
      <c r="D105" s="91"/>
      <c r="E105" s="91"/>
      <c r="F105" s="91"/>
      <c r="G105" s="91"/>
      <c r="H105" s="91"/>
      <c r="I105" s="91"/>
      <c r="J105" s="91"/>
      <c r="K105" s="91"/>
      <c r="L105" s="91"/>
      <c r="M105" s="91"/>
      <c r="N105" s="91"/>
      <c r="O105" s="91"/>
      <c r="P105" s="123"/>
      <c r="Q105" s="123"/>
    </row>
    <row r="106" spans="1:17" ht="15" customHeight="1">
      <c r="A106" s="160"/>
      <c r="B106" s="160"/>
      <c r="C106" s="160"/>
      <c r="D106" s="160"/>
      <c r="E106" s="160"/>
      <c r="F106" s="160"/>
      <c r="G106" s="160"/>
      <c r="H106" s="160"/>
      <c r="I106" s="160"/>
      <c r="J106" s="160"/>
      <c r="K106" s="160"/>
      <c r="L106" s="160"/>
      <c r="M106" s="160"/>
      <c r="N106" s="160"/>
      <c r="O106" s="160"/>
      <c r="P106" s="160"/>
      <c r="Q106" s="160"/>
    </row>
    <row r="107" spans="1:17" ht="15" customHeight="1">
      <c r="A107" s="160"/>
      <c r="B107" s="160"/>
      <c r="C107" s="160"/>
      <c r="D107" s="160"/>
      <c r="E107" s="160"/>
      <c r="F107" s="160"/>
      <c r="G107" s="160"/>
      <c r="H107" s="160"/>
      <c r="I107" s="160"/>
      <c r="J107" s="160"/>
      <c r="K107" s="160"/>
      <c r="L107" s="160"/>
      <c r="M107" s="160"/>
      <c r="N107" s="160"/>
      <c r="O107" s="160"/>
      <c r="P107" s="160"/>
      <c r="Q107" s="160"/>
    </row>
  </sheetData>
  <sheetProtection formatCells="0" formatColumns="0" formatRows="0" insertColumns="0" insertRows="0" insertHyperlinks="0" deleteColumns="0" deleteRows="0" sort="0" autoFilter="0" pivotTables="0"/>
  <mergeCells count="8">
    <mergeCell ref="A91:Q91"/>
    <mergeCell ref="A89:Q89"/>
    <mergeCell ref="A90:Q90"/>
    <mergeCell ref="A96:Q96"/>
    <mergeCell ref="A95:Q95"/>
    <mergeCell ref="A92:Q92"/>
    <mergeCell ref="A93:Q93"/>
    <mergeCell ref="A94:Q9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1"/>
  <sheetViews>
    <sheetView zoomScale="106" zoomScaleNormal="106" workbookViewId="0">
      <selection activeCell="A2" sqref="A2"/>
    </sheetView>
  </sheetViews>
  <sheetFormatPr defaultColWidth="9.140625" defaultRowHeight="15"/>
  <cols>
    <col min="1" max="1" width="36.5703125" style="18" bestFit="1" customWidth="1"/>
    <col min="2" max="15" width="9.7109375" style="18" customWidth="1"/>
    <col min="16" max="16" width="9.140625" style="18"/>
    <col min="17" max="17" width="15.140625" style="18" customWidth="1"/>
    <col min="18" max="16384" width="9.140625" style="18"/>
  </cols>
  <sheetData>
    <row r="1" spans="1:17">
      <c r="A1" s="113" t="s">
        <v>238</v>
      </c>
      <c r="B1" s="113"/>
      <c r="C1" s="113"/>
      <c r="D1" s="113"/>
      <c r="E1" s="113"/>
      <c r="F1" s="113"/>
      <c r="G1" s="113"/>
      <c r="H1" s="113"/>
      <c r="I1" s="113"/>
      <c r="J1" s="113"/>
      <c r="K1" s="113"/>
      <c r="L1" s="113"/>
      <c r="M1" s="113"/>
      <c r="N1" s="113"/>
      <c r="O1" s="113"/>
      <c r="P1" s="113"/>
      <c r="Q1" s="113"/>
    </row>
    <row r="2" spans="1:17" ht="24.75">
      <c r="A2" s="114" t="s">
        <v>43</v>
      </c>
      <c r="B2" s="87">
        <v>45809</v>
      </c>
      <c r="C2" s="87">
        <v>45717</v>
      </c>
      <c r="D2" s="87">
        <v>45627</v>
      </c>
      <c r="E2" s="87">
        <v>45536</v>
      </c>
      <c r="F2" s="87">
        <v>45444</v>
      </c>
      <c r="G2" s="87">
        <v>45352</v>
      </c>
      <c r="H2" s="87">
        <v>45261</v>
      </c>
      <c r="I2" s="87">
        <v>45170</v>
      </c>
      <c r="J2" s="87">
        <v>45078</v>
      </c>
      <c r="K2" s="87">
        <v>44986</v>
      </c>
      <c r="L2" s="87">
        <v>44896</v>
      </c>
      <c r="M2" s="87">
        <v>44805</v>
      </c>
      <c r="N2" s="87">
        <v>44713</v>
      </c>
      <c r="O2" s="87">
        <v>44621</v>
      </c>
      <c r="P2" s="115"/>
      <c r="Q2" s="88" t="s">
        <v>635</v>
      </c>
    </row>
    <row r="3" spans="1:17">
      <c r="A3" s="116" t="s">
        <v>232</v>
      </c>
      <c r="B3" s="116"/>
      <c r="C3" s="116"/>
      <c r="D3" s="116"/>
      <c r="E3" s="116"/>
      <c r="F3" s="116"/>
      <c r="G3" s="116"/>
      <c r="H3" s="116"/>
      <c r="I3" s="116"/>
      <c r="J3" s="116"/>
      <c r="K3" s="116"/>
      <c r="L3" s="116"/>
      <c r="M3" s="116"/>
      <c r="N3" s="116"/>
      <c r="O3" s="116"/>
      <c r="P3" s="117"/>
      <c r="Q3" s="117"/>
    </row>
    <row r="4" spans="1:17">
      <c r="A4" s="114" t="s">
        <v>284</v>
      </c>
      <c r="B4" s="221">
        <v>0</v>
      </c>
      <c r="C4" s="124">
        <v>0</v>
      </c>
      <c r="D4" s="124">
        <v>0</v>
      </c>
      <c r="E4" s="124">
        <v>0</v>
      </c>
      <c r="F4" s="124">
        <v>0</v>
      </c>
      <c r="G4" s="124">
        <v>0</v>
      </c>
      <c r="H4" s="124">
        <v>0</v>
      </c>
      <c r="I4" s="124">
        <v>0</v>
      </c>
      <c r="J4" s="124">
        <v>0</v>
      </c>
      <c r="K4" s="124">
        <v>0</v>
      </c>
      <c r="L4" s="124">
        <v>0</v>
      </c>
      <c r="M4" s="124">
        <v>0</v>
      </c>
      <c r="N4" s="124">
        <v>0</v>
      </c>
      <c r="O4" s="124">
        <v>0</v>
      </c>
      <c r="P4" s="115"/>
      <c r="Q4" s="128">
        <v>0</v>
      </c>
    </row>
    <row r="5" spans="1:17">
      <c r="A5" s="114" t="s">
        <v>287</v>
      </c>
      <c r="B5" s="221">
        <v>245.85400000000001</v>
      </c>
      <c r="C5" s="124">
        <v>255.482</v>
      </c>
      <c r="D5" s="124">
        <v>253.86199999999999</v>
      </c>
      <c r="E5" s="124">
        <v>196.572</v>
      </c>
      <c r="F5" s="124">
        <v>203.80199999999999</v>
      </c>
      <c r="G5" s="124">
        <v>229.447</v>
      </c>
      <c r="H5" s="124">
        <v>261.09100000000001</v>
      </c>
      <c r="I5" s="124">
        <v>443.26499999999999</v>
      </c>
      <c r="J5" s="124">
        <v>517.44899999999996</v>
      </c>
      <c r="K5" s="124">
        <v>776.447</v>
      </c>
      <c r="L5" s="124">
        <v>857.35599999999999</v>
      </c>
      <c r="M5" s="124">
        <v>852.03399999999999</v>
      </c>
      <c r="N5" s="124">
        <v>819.93299999999999</v>
      </c>
      <c r="O5" s="124">
        <v>824.68700000000001</v>
      </c>
      <c r="P5" s="115"/>
      <c r="Q5" s="128">
        <v>-3.7685629515973672E-2</v>
      </c>
    </row>
    <row r="6" spans="1:17">
      <c r="A6" s="114" t="s">
        <v>285</v>
      </c>
      <c r="B6" s="221">
        <v>74.224000000000004</v>
      </c>
      <c r="C6" s="124">
        <v>76.382000000000005</v>
      </c>
      <c r="D6" s="124">
        <v>101.861</v>
      </c>
      <c r="E6" s="124">
        <v>105.46299999999999</v>
      </c>
      <c r="F6" s="124">
        <v>121.154</v>
      </c>
      <c r="G6" s="124">
        <v>162.828</v>
      </c>
      <c r="H6" s="124">
        <v>173.404</v>
      </c>
      <c r="I6" s="124">
        <v>177.27600000000001</v>
      </c>
      <c r="J6" s="124">
        <v>186.68700000000001</v>
      </c>
      <c r="K6" s="124">
        <v>201.01900000000001</v>
      </c>
      <c r="L6" s="124">
        <v>215.41800000000001</v>
      </c>
      <c r="M6" s="124">
        <v>446.553</v>
      </c>
      <c r="N6" s="124">
        <v>491.17099999999999</v>
      </c>
      <c r="O6" s="124">
        <v>528.97699999999998</v>
      </c>
      <c r="P6" s="115"/>
      <c r="Q6" s="128">
        <v>-2.8252729700714841E-2</v>
      </c>
    </row>
    <row r="7" spans="1:17">
      <c r="A7" s="114" t="s">
        <v>286</v>
      </c>
      <c r="B7" s="221">
        <v>26.655000000000001</v>
      </c>
      <c r="C7" s="124">
        <v>26.135000000000002</v>
      </c>
      <c r="D7" s="124">
        <v>26.338000000000001</v>
      </c>
      <c r="E7" s="124">
        <v>28.152999999999999</v>
      </c>
      <c r="F7" s="124">
        <v>28.943999999999999</v>
      </c>
      <c r="G7" s="124">
        <v>20.925999999999998</v>
      </c>
      <c r="H7" s="124">
        <v>20.920999999999999</v>
      </c>
      <c r="I7" s="124">
        <v>22.815000000000001</v>
      </c>
      <c r="J7" s="124">
        <v>26.521000000000001</v>
      </c>
      <c r="K7" s="124">
        <v>31.481000000000002</v>
      </c>
      <c r="L7" s="124">
        <v>33.212000000000003</v>
      </c>
      <c r="M7" s="124">
        <v>51.32</v>
      </c>
      <c r="N7" s="124">
        <v>53.713999999999999</v>
      </c>
      <c r="O7" s="124">
        <v>57.387</v>
      </c>
      <c r="P7" s="115"/>
      <c r="Q7" s="128">
        <v>1.9896690262100614E-2</v>
      </c>
    </row>
    <row r="8" spans="1:17">
      <c r="A8" s="114" t="s">
        <v>288</v>
      </c>
      <c r="B8" s="221">
        <v>0</v>
      </c>
      <c r="C8" s="124">
        <v>0</v>
      </c>
      <c r="D8" s="124">
        <v>0</v>
      </c>
      <c r="E8" s="124">
        <v>0</v>
      </c>
      <c r="F8" s="124">
        <v>0</v>
      </c>
      <c r="G8" s="124">
        <v>0</v>
      </c>
      <c r="H8" s="124">
        <v>0</v>
      </c>
      <c r="I8" s="124">
        <v>0</v>
      </c>
      <c r="J8" s="124">
        <v>0</v>
      </c>
      <c r="K8" s="124">
        <v>0</v>
      </c>
      <c r="L8" s="124">
        <v>146.422</v>
      </c>
      <c r="M8" s="124">
        <v>157.14099999999999</v>
      </c>
      <c r="N8" s="124">
        <v>212.36500000000001</v>
      </c>
      <c r="O8" s="124">
        <v>211.33600000000001</v>
      </c>
      <c r="P8" s="115"/>
      <c r="Q8" s="128">
        <v>0</v>
      </c>
    </row>
    <row r="9" spans="1:17" ht="15.75" thickBot="1">
      <c r="A9" s="114"/>
      <c r="B9" s="266">
        <v>346.733</v>
      </c>
      <c r="C9" s="153">
        <v>357.99900000000002</v>
      </c>
      <c r="D9" s="153">
        <v>382.06099999999998</v>
      </c>
      <c r="E9" s="153">
        <v>330.18799999999999</v>
      </c>
      <c r="F9" s="153">
        <v>353.9</v>
      </c>
      <c r="G9" s="153">
        <v>413.20100000000002</v>
      </c>
      <c r="H9" s="153">
        <v>455.416</v>
      </c>
      <c r="I9" s="153">
        <v>643.35599999999999</v>
      </c>
      <c r="J9" s="153">
        <v>730.65700000000004</v>
      </c>
      <c r="K9" s="153">
        <v>1008.947</v>
      </c>
      <c r="L9" s="153">
        <v>1252.4079999999999</v>
      </c>
      <c r="M9" s="153">
        <v>1507.048</v>
      </c>
      <c r="N9" s="153">
        <v>1577.183</v>
      </c>
      <c r="O9" s="153">
        <v>1622.3869999999999</v>
      </c>
      <c r="P9" s="115"/>
      <c r="Q9" s="232">
        <v>-3.1469361646261636E-2</v>
      </c>
    </row>
    <row r="10" spans="1:17" ht="15.75" thickTop="1">
      <c r="A10" s="114"/>
      <c r="B10" s="217"/>
      <c r="C10" s="217"/>
      <c r="D10" s="217"/>
      <c r="E10" s="217"/>
      <c r="F10" s="217"/>
      <c r="G10" s="217"/>
      <c r="H10" s="217"/>
      <c r="I10" s="217"/>
      <c r="J10" s="217"/>
      <c r="K10" s="217"/>
      <c r="L10" s="217"/>
      <c r="M10" s="217"/>
      <c r="N10" s="217"/>
      <c r="O10" s="217"/>
      <c r="P10" s="115"/>
      <c r="Q10" s="88"/>
    </row>
    <row r="11" spans="1:17">
      <c r="A11" s="116" t="s">
        <v>233</v>
      </c>
      <c r="B11" s="241"/>
      <c r="C11" s="241"/>
      <c r="D11" s="241"/>
      <c r="E11" s="241"/>
      <c r="F11" s="241"/>
      <c r="G11" s="241"/>
      <c r="H11" s="241"/>
      <c r="I11" s="241"/>
      <c r="J11" s="241"/>
      <c r="K11" s="241"/>
      <c r="L11" s="241"/>
      <c r="M11" s="241"/>
      <c r="N11" s="241"/>
      <c r="O11" s="241"/>
      <c r="P11" s="117"/>
      <c r="Q11" s="117"/>
    </row>
    <row r="12" spans="1:17">
      <c r="A12" s="114" t="s">
        <v>284</v>
      </c>
      <c r="B12" s="221">
        <v>0</v>
      </c>
      <c r="C12" s="124">
        <v>0</v>
      </c>
      <c r="D12" s="124">
        <v>0</v>
      </c>
      <c r="E12" s="124">
        <v>0</v>
      </c>
      <c r="F12" s="124">
        <v>0</v>
      </c>
      <c r="G12" s="124">
        <v>0</v>
      </c>
      <c r="H12" s="124">
        <v>0</v>
      </c>
      <c r="I12" s="124">
        <v>0</v>
      </c>
      <c r="J12" s="124">
        <v>0</v>
      </c>
      <c r="K12" s="124">
        <v>0</v>
      </c>
      <c r="L12" s="124">
        <v>0</v>
      </c>
      <c r="M12" s="124">
        <v>0</v>
      </c>
      <c r="N12" s="124">
        <v>0</v>
      </c>
      <c r="O12" s="124">
        <v>0</v>
      </c>
      <c r="P12" s="115"/>
      <c r="Q12" s="128">
        <v>0</v>
      </c>
    </row>
    <row r="13" spans="1:17">
      <c r="A13" s="114" t="s">
        <v>287</v>
      </c>
      <c r="B13" s="221">
        <v>245.85400000000001</v>
      </c>
      <c r="C13" s="124">
        <v>255.482</v>
      </c>
      <c r="D13" s="124">
        <v>253.86199999999999</v>
      </c>
      <c r="E13" s="124">
        <v>196.572</v>
      </c>
      <c r="F13" s="124">
        <v>203.80199999999999</v>
      </c>
      <c r="G13" s="124">
        <v>229.447</v>
      </c>
      <c r="H13" s="124">
        <v>261.09100000000001</v>
      </c>
      <c r="I13" s="124">
        <v>443.26499999999999</v>
      </c>
      <c r="J13" s="124">
        <v>517.44899999999996</v>
      </c>
      <c r="K13" s="124">
        <v>776.447</v>
      </c>
      <c r="L13" s="124">
        <v>857.35599999999999</v>
      </c>
      <c r="M13" s="124">
        <v>852.03399999999999</v>
      </c>
      <c r="N13" s="124">
        <v>819.93299999999999</v>
      </c>
      <c r="O13" s="124">
        <v>824.68700000000001</v>
      </c>
      <c r="P13" s="115"/>
      <c r="Q13" s="128">
        <v>-3.7685629515973672E-2</v>
      </c>
    </row>
    <row r="14" spans="1:17">
      <c r="A14" s="114" t="s">
        <v>285</v>
      </c>
      <c r="B14" s="221">
        <v>74.224000000000004</v>
      </c>
      <c r="C14" s="124">
        <v>76.382000000000005</v>
      </c>
      <c r="D14" s="124">
        <v>101.861</v>
      </c>
      <c r="E14" s="124">
        <v>105.46299999999999</v>
      </c>
      <c r="F14" s="124">
        <v>121.154</v>
      </c>
      <c r="G14" s="124">
        <v>162.828</v>
      </c>
      <c r="H14" s="124">
        <v>173.72800000000001</v>
      </c>
      <c r="I14" s="124">
        <v>177.58699999999999</v>
      </c>
      <c r="J14" s="124">
        <v>187.02</v>
      </c>
      <c r="K14" s="124">
        <v>201.40199999999999</v>
      </c>
      <c r="L14" s="124">
        <v>215.73</v>
      </c>
      <c r="M14" s="124">
        <v>446.89699999999999</v>
      </c>
      <c r="N14" s="124">
        <v>491.52100000000002</v>
      </c>
      <c r="O14" s="124">
        <v>542.08000000000004</v>
      </c>
      <c r="P14" s="115"/>
      <c r="Q14" s="128">
        <v>-2.8252729700714841E-2</v>
      </c>
    </row>
    <row r="15" spans="1:17">
      <c r="A15" s="114" t="s">
        <v>286</v>
      </c>
      <c r="B15" s="221">
        <v>26.655000000000001</v>
      </c>
      <c r="C15" s="124">
        <v>26.135000000000002</v>
      </c>
      <c r="D15" s="124">
        <v>26.338000000000001</v>
      </c>
      <c r="E15" s="124">
        <v>28.152999999999999</v>
      </c>
      <c r="F15" s="124">
        <v>28.943999999999999</v>
      </c>
      <c r="G15" s="124">
        <v>20.925999999999998</v>
      </c>
      <c r="H15" s="124">
        <v>20.920999999999999</v>
      </c>
      <c r="I15" s="124">
        <v>22.815000000000001</v>
      </c>
      <c r="J15" s="124">
        <v>26.521000000000001</v>
      </c>
      <c r="K15" s="124">
        <v>31.481000000000002</v>
      </c>
      <c r="L15" s="124">
        <v>33.212000000000003</v>
      </c>
      <c r="M15" s="124">
        <v>51.32</v>
      </c>
      <c r="N15" s="124">
        <v>53.713999999999999</v>
      </c>
      <c r="O15" s="124">
        <v>57.387</v>
      </c>
      <c r="P15" s="115"/>
      <c r="Q15" s="128">
        <v>1.9896690262100614E-2</v>
      </c>
    </row>
    <row r="16" spans="1:17">
      <c r="A16" s="114" t="s">
        <v>288</v>
      </c>
      <c r="B16" s="221">
        <v>0</v>
      </c>
      <c r="C16" s="124">
        <v>0</v>
      </c>
      <c r="D16" s="124">
        <v>0</v>
      </c>
      <c r="E16" s="124">
        <v>0</v>
      </c>
      <c r="F16" s="124">
        <v>0</v>
      </c>
      <c r="G16" s="124">
        <v>0</v>
      </c>
      <c r="H16" s="124">
        <v>0</v>
      </c>
      <c r="I16" s="124">
        <v>0</v>
      </c>
      <c r="J16" s="124">
        <v>0</v>
      </c>
      <c r="K16" s="124">
        <v>0</v>
      </c>
      <c r="L16" s="124">
        <v>146.422</v>
      </c>
      <c r="M16" s="124">
        <v>157.14099999999999</v>
      </c>
      <c r="N16" s="124">
        <v>212.36500000000001</v>
      </c>
      <c r="O16" s="124">
        <v>211.33600000000001</v>
      </c>
      <c r="P16" s="115"/>
      <c r="Q16" s="128">
        <v>0</v>
      </c>
    </row>
    <row r="17" spans="1:17" ht="15.75" thickBot="1">
      <c r="A17" s="114"/>
      <c r="B17" s="266">
        <v>346.733</v>
      </c>
      <c r="C17" s="153">
        <v>357.99900000000002</v>
      </c>
      <c r="D17" s="153">
        <v>382.06099999999998</v>
      </c>
      <c r="E17" s="153">
        <v>330.18799999999999</v>
      </c>
      <c r="F17" s="153">
        <v>353.9</v>
      </c>
      <c r="G17" s="153">
        <v>413.20100000000002</v>
      </c>
      <c r="H17" s="153">
        <v>455.74</v>
      </c>
      <c r="I17" s="153">
        <v>643.66700000000003</v>
      </c>
      <c r="J17" s="153">
        <v>730.99</v>
      </c>
      <c r="K17" s="153">
        <v>1009.33</v>
      </c>
      <c r="L17" s="153">
        <v>1252.72</v>
      </c>
      <c r="M17" s="153">
        <v>1507.3920000000001</v>
      </c>
      <c r="N17" s="153">
        <v>1577.5329999999999</v>
      </c>
      <c r="O17" s="153">
        <v>1635.49</v>
      </c>
      <c r="P17" s="115"/>
      <c r="Q17" s="232">
        <v>-3.1469361646261636E-2</v>
      </c>
    </row>
    <row r="18" spans="1:17" ht="15.75" thickTop="1">
      <c r="A18" s="114"/>
      <c r="B18" s="87"/>
      <c r="C18" s="87"/>
      <c r="D18" s="87"/>
      <c r="E18" s="87"/>
      <c r="F18" s="87"/>
      <c r="G18" s="87"/>
      <c r="H18" s="87"/>
      <c r="I18" s="87"/>
      <c r="J18" s="87"/>
      <c r="K18" s="87"/>
      <c r="L18" s="87"/>
      <c r="M18" s="87"/>
      <c r="N18" s="87"/>
      <c r="O18" s="87"/>
      <c r="P18" s="115"/>
      <c r="Q18" s="88"/>
    </row>
    <row r="21" spans="1:17" ht="20.25" customHeight="1">
      <c r="A21" s="326" t="s">
        <v>487</v>
      </c>
      <c r="B21" s="326"/>
      <c r="C21" s="326"/>
      <c r="D21" s="326"/>
      <c r="E21" s="326"/>
      <c r="F21" s="326"/>
      <c r="G21" s="326"/>
      <c r="H21" s="326"/>
      <c r="I21" s="326"/>
      <c r="J21" s="326"/>
      <c r="K21" s="326"/>
      <c r="L21" s="326"/>
      <c r="M21" s="326"/>
      <c r="N21" s="326"/>
      <c r="O21" s="326"/>
      <c r="P21" s="213"/>
      <c r="Q21" s="213"/>
    </row>
  </sheetData>
  <sheetProtection formatCells="0" formatColumns="0" formatRows="0" insertColumns="0" insertRows="0" insertHyperlinks="0" deleteColumns="0" deleteRows="0" sort="0" autoFilter="0" pivotTables="0"/>
  <mergeCells count="1">
    <mergeCell ref="A21:O21"/>
  </mergeCells>
  <pageMargins left="0.70866141732283472" right="0.70866141732283472" top="0.74803149606299213" bottom="0.74803149606299213" header="0.31496062992125984" footer="0.31496062992125984"/>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4A0C-7FE7-44A7-A5AD-FEF5CAF70A56}">
  <sheetPr>
    <pageSetUpPr fitToPage="1"/>
  </sheetPr>
  <dimension ref="A1:L32"/>
  <sheetViews>
    <sheetView zoomScaleNormal="100" workbookViewId="0">
      <pane ySplit="2" topLeftCell="A3" activePane="bottomLeft" state="frozen"/>
      <selection pane="bottomLeft" activeCell="A2" sqref="A2"/>
    </sheetView>
  </sheetViews>
  <sheetFormatPr defaultColWidth="9.140625" defaultRowHeight="15"/>
  <cols>
    <col min="1" max="1" width="53" style="18" customWidth="1"/>
    <col min="2" max="11" width="14.28515625" style="18" customWidth="1"/>
    <col min="12" max="12" width="6.85546875" style="18" customWidth="1"/>
    <col min="13" max="16384" width="9.140625" style="18"/>
  </cols>
  <sheetData>
    <row r="1" spans="1:12">
      <c r="A1" s="132" t="s">
        <v>522</v>
      </c>
      <c r="B1" s="132"/>
      <c r="C1" s="132"/>
      <c r="D1" s="132"/>
      <c r="E1" s="132"/>
      <c r="F1" s="132"/>
      <c r="G1" s="132"/>
      <c r="H1" s="132"/>
      <c r="I1" s="132"/>
      <c r="J1" s="132"/>
      <c r="K1" s="132"/>
      <c r="L1" s="168"/>
    </row>
    <row r="2" spans="1:12">
      <c r="A2" s="134" t="s">
        <v>43</v>
      </c>
      <c r="B2" s="115" t="s">
        <v>636</v>
      </c>
      <c r="C2" s="115" t="s">
        <v>608</v>
      </c>
      <c r="D2" s="115" t="s">
        <v>597</v>
      </c>
      <c r="E2" s="115" t="s">
        <v>558</v>
      </c>
      <c r="F2" s="115" t="s">
        <v>527</v>
      </c>
      <c r="G2" s="115" t="s">
        <v>516</v>
      </c>
      <c r="H2" s="115" t="s">
        <v>504</v>
      </c>
      <c r="I2" s="115" t="s">
        <v>421</v>
      </c>
      <c r="J2" s="115" t="s">
        <v>403</v>
      </c>
      <c r="K2" s="115" t="s">
        <v>389</v>
      </c>
      <c r="L2" s="168"/>
    </row>
    <row r="3" spans="1:12">
      <c r="A3" s="135" t="s">
        <v>181</v>
      </c>
      <c r="B3" s="135"/>
      <c r="C3" s="135"/>
      <c r="D3" s="135"/>
      <c r="E3" s="135"/>
      <c r="F3" s="135"/>
      <c r="G3" s="135"/>
      <c r="H3" s="135"/>
      <c r="I3" s="135"/>
      <c r="J3" s="135"/>
      <c r="K3" s="135"/>
      <c r="L3" s="168"/>
    </row>
    <row r="4" spans="1:12">
      <c r="A4" s="285" t="s">
        <v>464</v>
      </c>
      <c r="B4" s="255">
        <v>659.976</v>
      </c>
      <c r="C4" s="233">
        <v>659.976</v>
      </c>
      <c r="D4" s="233">
        <v>861.67399999999998</v>
      </c>
      <c r="E4" s="233">
        <v>861.67399999999998</v>
      </c>
      <c r="F4" s="233">
        <v>861.67399999999998</v>
      </c>
      <c r="G4" s="233">
        <v>861.67399999999998</v>
      </c>
      <c r="H4" s="233">
        <v>1078.673</v>
      </c>
      <c r="I4" s="233">
        <v>1078.673</v>
      </c>
      <c r="J4" s="233">
        <v>1078.673</v>
      </c>
      <c r="K4" s="233">
        <v>1078.673</v>
      </c>
      <c r="L4" s="168"/>
    </row>
    <row r="5" spans="1:12">
      <c r="A5" s="285" t="s">
        <v>157</v>
      </c>
      <c r="B5" s="255">
        <v>7.7610000000000001</v>
      </c>
      <c r="C5" s="233">
        <v>5.0810000000000004</v>
      </c>
      <c r="D5" s="233">
        <v>30.615000000000002</v>
      </c>
      <c r="E5" s="233">
        <v>27.52</v>
      </c>
      <c r="F5" s="233">
        <v>14.327</v>
      </c>
      <c r="G5" s="233">
        <v>4.8079999999999998</v>
      </c>
      <c r="H5" s="233">
        <v>20.914999999999999</v>
      </c>
      <c r="I5" s="233">
        <v>17.638999999999999</v>
      </c>
      <c r="J5" s="233">
        <v>5.0170000000000003</v>
      </c>
      <c r="K5" s="233">
        <v>2.0409999999999999</v>
      </c>
      <c r="L5" s="168"/>
    </row>
    <row r="6" spans="1:12">
      <c r="A6" s="285" t="s">
        <v>465</v>
      </c>
      <c r="B6" s="255">
        <v>-210.36799999999999</v>
      </c>
      <c r="C6" s="233">
        <v>-21.509</v>
      </c>
      <c r="D6" s="233">
        <v>-174.84</v>
      </c>
      <c r="E6" s="233">
        <v>-81.501000000000005</v>
      </c>
      <c r="F6" s="233">
        <v>-56.744</v>
      </c>
      <c r="G6" s="233">
        <v>-17.292000000000002</v>
      </c>
      <c r="H6" s="233">
        <v>-171.542</v>
      </c>
      <c r="I6" s="233">
        <v>-97.62</v>
      </c>
      <c r="J6" s="233">
        <v>-67.688999999999993</v>
      </c>
      <c r="K6" s="233">
        <v>-37.634</v>
      </c>
      <c r="L6" s="168"/>
    </row>
    <row r="7" spans="1:12">
      <c r="A7" s="285" t="s">
        <v>628</v>
      </c>
      <c r="B7" s="255">
        <v>0</v>
      </c>
      <c r="C7" s="233">
        <v>-0.77500000000000002</v>
      </c>
      <c r="D7" s="233">
        <v>-1E-3</v>
      </c>
      <c r="E7" s="233">
        <v>-3.0579999999999998</v>
      </c>
      <c r="F7" s="233">
        <v>-3.0579999999999998</v>
      </c>
      <c r="G7" s="233">
        <v>-3.0579999999999998</v>
      </c>
      <c r="H7" s="233">
        <v>-21.353999999999999</v>
      </c>
      <c r="I7" s="233">
        <v>-21.353999999999999</v>
      </c>
      <c r="J7" s="233">
        <v>-20.556000000000001</v>
      </c>
      <c r="K7" s="233">
        <v>-21.353999999999999</v>
      </c>
      <c r="L7" s="168"/>
    </row>
    <row r="8" spans="1:12">
      <c r="A8" s="285" t="s">
        <v>467</v>
      </c>
      <c r="B8" s="255">
        <v>-15.141999999999999</v>
      </c>
      <c r="C8" s="233">
        <v>-8.5649999999999995</v>
      </c>
      <c r="D8" s="233">
        <v>-57.472000000000001</v>
      </c>
      <c r="E8" s="233">
        <v>-40.880000000000003</v>
      </c>
      <c r="F8" s="233">
        <v>-25.981000000000002</v>
      </c>
      <c r="G8" s="233">
        <v>-9.7050000000000001</v>
      </c>
      <c r="H8" s="233">
        <v>-44.417999999999999</v>
      </c>
      <c r="I8" s="233">
        <v>-30.236000000000001</v>
      </c>
      <c r="J8" s="233">
        <v>-21.684000000000001</v>
      </c>
      <c r="K8" s="233">
        <v>-8.7460000000000004</v>
      </c>
      <c r="L8" s="168"/>
    </row>
    <row r="9" spans="1:12" ht="15.75" thickBot="1">
      <c r="A9" s="138" t="s">
        <v>642</v>
      </c>
      <c r="B9" s="256">
        <v>442.22699999999998</v>
      </c>
      <c r="C9" s="234">
        <v>634.20799999999997</v>
      </c>
      <c r="D9" s="234">
        <v>659.976</v>
      </c>
      <c r="E9" s="234">
        <v>763.755</v>
      </c>
      <c r="F9" s="234">
        <v>790.21799999999996</v>
      </c>
      <c r="G9" s="234">
        <v>836.42700000000002</v>
      </c>
      <c r="H9" s="313">
        <v>862.274</v>
      </c>
      <c r="I9" s="234">
        <v>947.10199999999998</v>
      </c>
      <c r="J9" s="234">
        <v>973.76099999999997</v>
      </c>
      <c r="K9" s="234">
        <v>1012.98</v>
      </c>
      <c r="L9" s="168"/>
    </row>
    <row r="10" spans="1:12" ht="15.75" thickTop="1">
      <c r="A10" s="137"/>
      <c r="B10" s="273"/>
      <c r="C10" s="314"/>
      <c r="D10" s="282"/>
      <c r="E10" s="282"/>
      <c r="F10" s="282"/>
      <c r="G10" s="282"/>
      <c r="H10" s="314"/>
      <c r="I10" s="282"/>
      <c r="J10" s="282"/>
      <c r="K10" s="282"/>
      <c r="L10" s="168"/>
    </row>
    <row r="11" spans="1:12">
      <c r="A11" s="135" t="s">
        <v>37</v>
      </c>
      <c r="B11" s="274"/>
      <c r="C11" s="315"/>
      <c r="D11" s="274"/>
      <c r="E11" s="274"/>
      <c r="F11" s="274"/>
      <c r="G11" s="274"/>
      <c r="H11" s="315"/>
      <c r="I11" s="274"/>
      <c r="J11" s="274"/>
      <c r="K11" s="274"/>
      <c r="L11" s="168"/>
    </row>
    <row r="12" spans="1:12">
      <c r="A12" s="286" t="s">
        <v>158</v>
      </c>
      <c r="B12" s="255">
        <v>44</v>
      </c>
      <c r="C12" s="233">
        <v>45.326840670000038</v>
      </c>
      <c r="D12" s="233">
        <v>45.963999999999999</v>
      </c>
      <c r="E12" s="233">
        <v>48.292999999999999</v>
      </c>
      <c r="F12" s="233">
        <v>49.743000000000002</v>
      </c>
      <c r="G12" s="233">
        <v>49.358000000000004</v>
      </c>
      <c r="H12" s="233">
        <v>49.865000000000002</v>
      </c>
      <c r="I12" s="129"/>
      <c r="J12" s="129"/>
      <c r="K12" s="129"/>
      <c r="L12" s="168"/>
    </row>
    <row r="13" spans="1:12">
      <c r="A13" s="286" t="s">
        <v>159</v>
      </c>
      <c r="B13" s="255">
        <v>53</v>
      </c>
      <c r="C13" s="233">
        <v>54.712159329999992</v>
      </c>
      <c r="D13" s="233">
        <v>70.897659329999996</v>
      </c>
      <c r="E13" s="233">
        <v>113.88004980999999</v>
      </c>
      <c r="F13" s="233">
        <v>104.70298</v>
      </c>
      <c r="G13" s="233">
        <v>103.79873000000001</v>
      </c>
      <c r="H13" s="233">
        <v>109.99193</v>
      </c>
      <c r="I13" s="129"/>
      <c r="J13" s="129"/>
      <c r="K13" s="129"/>
      <c r="L13" s="168"/>
    </row>
    <row r="14" spans="1:12">
      <c r="A14" s="286" t="s">
        <v>160</v>
      </c>
      <c r="B14" s="255">
        <v>14</v>
      </c>
      <c r="C14" s="233">
        <v>15.056000000000001</v>
      </c>
      <c r="D14" s="233">
        <v>15.212</v>
      </c>
      <c r="E14" s="233">
        <v>15.525</v>
      </c>
      <c r="F14" s="233">
        <v>25.186</v>
      </c>
      <c r="G14" s="233">
        <v>34.918999999999997</v>
      </c>
      <c r="H14" s="233">
        <v>35.956000000000003</v>
      </c>
      <c r="I14" s="129"/>
      <c r="J14" s="129"/>
      <c r="K14" s="129"/>
      <c r="L14" s="168"/>
    </row>
    <row r="15" spans="1:12">
      <c r="A15" s="286" t="s">
        <v>161</v>
      </c>
      <c r="B15" s="255">
        <v>7</v>
      </c>
      <c r="C15" s="233">
        <v>7.0049999999999999</v>
      </c>
      <c r="D15" s="233">
        <v>7.0049999999999999</v>
      </c>
      <c r="E15" s="233">
        <v>13.244999999999999</v>
      </c>
      <c r="F15" s="233">
        <v>13.244999999999999</v>
      </c>
      <c r="G15" s="233">
        <v>15.244999999999999</v>
      </c>
      <c r="H15" s="233">
        <v>17.344999999999999</v>
      </c>
      <c r="I15" s="129"/>
      <c r="J15" s="129"/>
      <c r="K15" s="129"/>
      <c r="L15" s="168"/>
    </row>
    <row r="16" spans="1:12">
      <c r="A16" s="286" t="s">
        <v>162</v>
      </c>
      <c r="B16" s="255">
        <v>299.22699999999998</v>
      </c>
      <c r="C16" s="233">
        <v>485.233</v>
      </c>
      <c r="D16" s="233">
        <v>493.5</v>
      </c>
      <c r="E16" s="233">
        <v>542.23199999999997</v>
      </c>
      <c r="F16" s="233">
        <v>562.07899999999995</v>
      </c>
      <c r="G16" s="233">
        <v>590.03300000000002</v>
      </c>
      <c r="H16" s="233">
        <v>603.75300000000004</v>
      </c>
      <c r="I16" s="129"/>
      <c r="J16" s="129"/>
      <c r="K16" s="129"/>
      <c r="L16" s="168"/>
    </row>
    <row r="17" spans="1:12">
      <c r="A17" s="285" t="s">
        <v>163</v>
      </c>
      <c r="B17" s="255">
        <v>0</v>
      </c>
      <c r="C17" s="233">
        <v>0</v>
      </c>
      <c r="D17" s="233">
        <v>0</v>
      </c>
      <c r="E17" s="233">
        <v>0</v>
      </c>
      <c r="F17" s="233">
        <v>0</v>
      </c>
      <c r="G17" s="233">
        <v>0</v>
      </c>
      <c r="H17" s="233">
        <v>0</v>
      </c>
      <c r="I17" s="129"/>
      <c r="J17" s="129"/>
      <c r="K17" s="129"/>
      <c r="L17" s="168"/>
    </row>
    <row r="18" spans="1:12" ht="15.75" thickBot="1">
      <c r="A18" s="138" t="s">
        <v>127</v>
      </c>
      <c r="B18" s="256">
        <v>417.22699999999998</v>
      </c>
      <c r="C18" s="234">
        <v>607.33299999999997</v>
      </c>
      <c r="D18" s="234">
        <v>632.57865932999994</v>
      </c>
      <c r="E18" s="234">
        <v>733.17504981000002</v>
      </c>
      <c r="F18" s="234">
        <v>754.95597999999995</v>
      </c>
      <c r="G18" s="234">
        <v>793.35373000000004</v>
      </c>
      <c r="H18" s="234">
        <v>816.91093000000001</v>
      </c>
      <c r="I18" s="129"/>
      <c r="J18" s="129"/>
      <c r="K18" s="129"/>
      <c r="L18" s="168"/>
    </row>
    <row r="19" spans="1:12" ht="15.75" thickTop="1">
      <c r="A19" s="138"/>
      <c r="B19" s="269"/>
      <c r="C19" s="316"/>
      <c r="D19" s="269"/>
      <c r="E19" s="269"/>
      <c r="F19" s="269"/>
      <c r="G19" s="269"/>
      <c r="H19" s="269"/>
      <c r="I19" s="269"/>
      <c r="J19" s="269"/>
      <c r="K19" s="269"/>
    </row>
    <row r="20" spans="1:12">
      <c r="A20" s="135" t="s">
        <v>604</v>
      </c>
      <c r="B20" s="274"/>
      <c r="C20" s="315"/>
      <c r="D20" s="274"/>
      <c r="E20" s="274"/>
      <c r="F20" s="274"/>
      <c r="G20" s="274"/>
      <c r="H20" s="274"/>
      <c r="I20" s="274"/>
      <c r="J20" s="274"/>
      <c r="K20" s="274"/>
      <c r="L20" s="168"/>
    </row>
    <row r="21" spans="1:12">
      <c r="A21" s="286" t="s">
        <v>158</v>
      </c>
      <c r="B21" s="255">
        <v>6</v>
      </c>
      <c r="C21" s="233">
        <v>6.5670000000000002</v>
      </c>
      <c r="D21" s="233">
        <v>6.1620000000000008</v>
      </c>
      <c r="E21" s="233">
        <v>7.0920000000000005</v>
      </c>
      <c r="F21" s="233">
        <v>9.4860000000000007</v>
      </c>
      <c r="G21" s="233">
        <v>11.244</v>
      </c>
      <c r="H21" s="233">
        <v>12</v>
      </c>
      <c r="I21" s="129"/>
      <c r="J21" s="129"/>
      <c r="K21" s="129"/>
      <c r="L21" s="168"/>
    </row>
    <row r="22" spans="1:12">
      <c r="A22" s="286" t="s">
        <v>159</v>
      </c>
      <c r="B22" s="255">
        <v>7</v>
      </c>
      <c r="C22" s="233">
        <v>7.1790000000000003</v>
      </c>
      <c r="D22" s="233">
        <v>7.8320000000000007</v>
      </c>
      <c r="E22" s="233">
        <v>9.4979999999999993</v>
      </c>
      <c r="F22" s="233">
        <v>9.7289999999999992</v>
      </c>
      <c r="G22" s="233">
        <v>11.606</v>
      </c>
      <c r="H22" s="233">
        <v>13.05</v>
      </c>
      <c r="I22" s="129"/>
      <c r="J22" s="129"/>
      <c r="K22" s="129"/>
      <c r="L22" s="168"/>
    </row>
    <row r="23" spans="1:12">
      <c r="A23" s="286" t="s">
        <v>160</v>
      </c>
      <c r="B23" s="255">
        <v>9</v>
      </c>
      <c r="C23" s="233">
        <v>9.7119999999999997</v>
      </c>
      <c r="D23" s="233">
        <v>9.9759999999999991</v>
      </c>
      <c r="E23" s="233">
        <v>10.562999999999999</v>
      </c>
      <c r="F23" s="233">
        <v>12.62</v>
      </c>
      <c r="G23" s="233">
        <v>16.038999999999998</v>
      </c>
      <c r="H23" s="233">
        <v>16.192999999999998</v>
      </c>
      <c r="I23" s="129"/>
      <c r="J23" s="129"/>
      <c r="K23" s="129"/>
      <c r="L23" s="168"/>
    </row>
    <row r="24" spans="1:12">
      <c r="A24" s="286" t="s">
        <v>161</v>
      </c>
      <c r="B24" s="255">
        <v>0</v>
      </c>
      <c r="C24" s="233">
        <v>0.33900000000000002</v>
      </c>
      <c r="D24" s="233">
        <v>0.33900000000000002</v>
      </c>
      <c r="E24" s="233">
        <v>0.33900000000000002</v>
      </c>
      <c r="F24" s="233">
        <v>0.33900000000000002</v>
      </c>
      <c r="G24" s="233">
        <v>0.48399999999999999</v>
      </c>
      <c r="H24" s="233">
        <v>0.437</v>
      </c>
      <c r="I24" s="129"/>
      <c r="J24" s="129"/>
      <c r="K24" s="129"/>
      <c r="L24" s="168"/>
    </row>
    <row r="25" spans="1:12">
      <c r="A25" s="286" t="s">
        <v>162</v>
      </c>
      <c r="B25" s="255">
        <v>3</v>
      </c>
      <c r="C25" s="233">
        <v>3.0779999999999998</v>
      </c>
      <c r="D25" s="233">
        <v>3.0880000000000001</v>
      </c>
      <c r="E25" s="233">
        <v>3.0880000000000001</v>
      </c>
      <c r="F25" s="233">
        <v>3.0880000000000001</v>
      </c>
      <c r="G25" s="233">
        <v>3.7</v>
      </c>
      <c r="H25" s="233">
        <v>3.6829999999999998</v>
      </c>
      <c r="I25" s="129"/>
      <c r="J25" s="129"/>
      <c r="K25" s="129"/>
      <c r="L25" s="168"/>
    </row>
    <row r="26" spans="1:12">
      <c r="A26" s="285" t="s">
        <v>163</v>
      </c>
      <c r="B26" s="255">
        <v>0</v>
      </c>
      <c r="C26" s="233">
        <v>0</v>
      </c>
      <c r="D26" s="233">
        <v>0</v>
      </c>
      <c r="E26" s="233" t="s">
        <v>86</v>
      </c>
      <c r="F26" s="233" t="s">
        <v>86</v>
      </c>
      <c r="G26" s="233" t="s">
        <v>86</v>
      </c>
      <c r="H26" s="233" t="s">
        <v>86</v>
      </c>
      <c r="I26" s="129"/>
      <c r="J26" s="129"/>
      <c r="K26" s="129"/>
      <c r="L26" s="168"/>
    </row>
    <row r="27" spans="1:12" ht="15.75" thickBot="1">
      <c r="A27" s="138" t="s">
        <v>127</v>
      </c>
      <c r="B27" s="256">
        <v>25</v>
      </c>
      <c r="C27" s="234">
        <v>26.874999999999996</v>
      </c>
      <c r="D27" s="234">
        <v>27.396999999999998</v>
      </c>
      <c r="E27" s="234">
        <v>30.58</v>
      </c>
      <c r="F27" s="234">
        <v>35.262</v>
      </c>
      <c r="G27" s="234">
        <v>43.073</v>
      </c>
      <c r="H27" s="234">
        <v>45.362999999999992</v>
      </c>
      <c r="I27" s="129"/>
      <c r="J27" s="129"/>
      <c r="K27" s="129"/>
      <c r="L27" s="168"/>
    </row>
    <row r="28" spans="1:12" ht="15.75" thickTop="1">
      <c r="A28" s="331"/>
      <c r="B28" s="331"/>
      <c r="C28" s="331"/>
      <c r="D28" s="331"/>
      <c r="E28" s="331"/>
      <c r="F28" s="331"/>
      <c r="G28" s="331"/>
      <c r="H28" s="331"/>
      <c r="I28" s="331"/>
      <c r="J28" s="331"/>
      <c r="K28" s="331"/>
    </row>
    <row r="32" spans="1:12">
      <c r="B32" s="172"/>
      <c r="C32" s="172"/>
      <c r="D32" s="172"/>
      <c r="E32" s="172"/>
      <c r="F32" s="172"/>
      <c r="G32" s="172"/>
      <c r="H32" s="172"/>
      <c r="I32" s="172"/>
      <c r="J32" s="172"/>
      <c r="K32" s="172"/>
    </row>
  </sheetData>
  <sheetProtection formatCells="0" formatColumns="0" formatRows="0" insertColumns="0" insertRows="0" insertHyperlinks="0" deleteColumns="0" deleteRows="0" sort="0" autoFilter="0" pivotTables="0"/>
  <mergeCells count="1">
    <mergeCell ref="A28:K28"/>
  </mergeCells>
  <pageMargins left="0.70866141732283472" right="0.70866141732283472" top="0.74803149606299213" bottom="0.74803149606299213" header="0.31496062992125984" footer="0.31496062992125984"/>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gic_x0020_Changed xmlns="b65ba857-e4d0-4107-b47f-dae113343f35">false</Logic_x0020_Changed>
    <Approvers xmlns="b65ba857-e4d0-4107-b47f-dae113343f35">
      <UserInfo>
        <DisplayName/>
        <AccountId xsi:nil="true"/>
        <AccountType/>
      </UserInfo>
    </Approvers>
    <lcf76f155ced4ddcb4097134ff3c332f xmlns="01f05ed3-a309-48c7-87c7-711a4587e607">
      <Terms xmlns="http://schemas.microsoft.com/office/infopath/2007/PartnerControls"/>
    </lcf76f155ced4ddcb4097134ff3c332f>
    <TaxCatchAll xmlns="b65ba857-e4d0-4107-b47f-dae113343f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UC Document" ma:contentTypeID="0x0101004869DDCFDA87CE4CA4F21C6185DB2BB500257A4522FD898D43B30874944552E4A0" ma:contentTypeVersion="18" ma:contentTypeDescription="" ma:contentTypeScope="" ma:versionID="55183210306dc631cde858dca5000a8d">
  <xsd:schema xmlns:xsd="http://www.w3.org/2001/XMLSchema" xmlns:xs="http://www.w3.org/2001/XMLSchema" xmlns:p="http://schemas.microsoft.com/office/2006/metadata/properties" xmlns:ns2="b65ba857-e4d0-4107-b47f-dae113343f35" xmlns:ns3="01f05ed3-a309-48c7-87c7-711a4587e607" targetNamespace="http://schemas.microsoft.com/office/2006/metadata/properties" ma:root="true" ma:fieldsID="df239676be4398f75f5f61a0ff6d90d5" ns2:_="" ns3:_="">
    <xsd:import namespace="b65ba857-e4d0-4107-b47f-dae113343f35"/>
    <xsd:import namespace="01f05ed3-a309-48c7-87c7-711a4587e607"/>
    <xsd:element name="properties">
      <xsd:complexType>
        <xsd:sequence>
          <xsd:element name="documentManagement">
            <xsd:complexType>
              <xsd:all>
                <xsd:element ref="ns2:Approvers" minOccurs="0"/>
                <xsd:element ref="ns2:Logic_x0020_Change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ba857-e4d0-4107-b47f-dae113343f35" elementFormDefault="qualified">
    <xsd:import namespace="http://schemas.microsoft.com/office/2006/documentManagement/types"/>
    <xsd:import namespace="http://schemas.microsoft.com/office/infopath/2007/PartnerControls"/>
    <xsd:element name="Approvers" ma:index="8" nillable="true" ma:displayName="Approvers" ma:list="UserInfo" ma:internalName="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ogic_x0020_Changed" ma:index="9" nillable="true" ma:displayName="Logic Changed" ma:default="0" ma:internalName="Logic_x0020_Changed">
      <xsd:simpleType>
        <xsd:restriction base="dms:Boolean"/>
      </xsd:simpleType>
    </xsd:element>
    <xsd:element name="TaxCatchAll" ma:index="16" nillable="true" ma:displayName="Taxonomy Catch All Column" ma:hidden="true" ma:list="{51967f2f-b59b-44d7-9bd4-873cb75a9c51}" ma:internalName="TaxCatchAll" ma:showField="CatchAllData" ma:web="b65ba857-e4d0-4107-b47f-dae113343f3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f05ed3-a309-48c7-87c7-711a4587e6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daea53e-0967-446b-a3a7-12501357210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D5425-C9A8-40F0-AE7F-BA39B8A5C75B}">
  <ds:schemaRefs>
    <ds:schemaRef ds:uri="http://schemas.microsoft.com/office/2006/metadata/properties"/>
    <ds:schemaRef ds:uri="http://schemas.microsoft.com/office/infopath/2007/PartnerControls"/>
    <ds:schemaRef ds:uri="b65ba857-e4d0-4107-b47f-dae113343f35"/>
    <ds:schemaRef ds:uri="01f05ed3-a309-48c7-87c7-711a4587e607"/>
  </ds:schemaRefs>
</ds:datastoreItem>
</file>

<file path=customXml/itemProps2.xml><?xml version="1.0" encoding="utf-8"?>
<ds:datastoreItem xmlns:ds="http://schemas.openxmlformats.org/officeDocument/2006/customXml" ds:itemID="{C447AF3C-E9BE-4870-BBFE-D488764ACDFA}">
  <ds:schemaRefs>
    <ds:schemaRef ds:uri="http://schemas.microsoft.com/sharepoint/v3/contenttype/forms"/>
  </ds:schemaRefs>
</ds:datastoreItem>
</file>

<file path=customXml/itemProps3.xml><?xml version="1.0" encoding="utf-8"?>
<ds:datastoreItem xmlns:ds="http://schemas.openxmlformats.org/officeDocument/2006/customXml" ds:itemID="{96BF6842-6368-4C8B-A552-5399E63CC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ba857-e4d0-4107-b47f-dae113343f35"/>
    <ds:schemaRef ds:uri="01f05ed3-a309-48c7-87c7-711a4587e6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T08.01 REPOSSESSED (REMU)</vt:lpstr>
      <vt:lpstr>AS T08 TOTAL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TOTAL (REMU)'!Print_Area</vt:lpstr>
      <vt:lpstr>'AS T08.01 REPOSSESSED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Elena Hadjikyriacou</cp:lastModifiedBy>
  <cp:lastPrinted>2024-11-07T07:09:53Z</cp:lastPrinted>
  <dcterms:created xsi:type="dcterms:W3CDTF">2017-04-28T07:25:29Z</dcterms:created>
  <dcterms:modified xsi:type="dcterms:W3CDTF">2025-08-06T05:57:20Z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b0ef1-9021-405e-82e1-ad64c4947b5b_Enabled">
    <vt:lpwstr>true</vt:lpwstr>
  </property>
  <property fmtid="{D5CDD505-2E9C-101B-9397-08002B2CF9AE}" pid="3" name="MSIP_Label_b9fb0ef1-9021-405e-82e1-ad64c4947b5b_SetDate">
    <vt:lpwstr>2024-02-13T13:41:00Z</vt:lpwstr>
  </property>
  <property fmtid="{D5CDD505-2E9C-101B-9397-08002B2CF9AE}" pid="4" name="MSIP_Label_b9fb0ef1-9021-405e-82e1-ad64c4947b5b_Method">
    <vt:lpwstr>Privileged</vt:lpwstr>
  </property>
  <property fmtid="{D5CDD505-2E9C-101B-9397-08002B2CF9AE}" pid="5" name="MSIP_Label_b9fb0ef1-9021-405e-82e1-ad64c4947b5b_Name">
    <vt:lpwstr>C - BoC Group Users only</vt:lpwstr>
  </property>
  <property fmtid="{D5CDD505-2E9C-101B-9397-08002B2CF9AE}" pid="6" name="MSIP_Label_b9fb0ef1-9021-405e-82e1-ad64c4947b5b_SiteId">
    <vt:lpwstr>adc46af2-9b39-4b5e-a6e6-c2437f7c5706</vt:lpwstr>
  </property>
  <property fmtid="{D5CDD505-2E9C-101B-9397-08002B2CF9AE}" pid="7" name="MSIP_Label_b9fb0ef1-9021-405e-82e1-ad64c4947b5b_ActionId">
    <vt:lpwstr>384c4c9f-4edd-490e-990d-1494768a53fe</vt:lpwstr>
  </property>
  <property fmtid="{D5CDD505-2E9C-101B-9397-08002B2CF9AE}" pid="8" name="MSIP_Label_b9fb0ef1-9021-405e-82e1-ad64c4947b5b_ContentBits">
    <vt:lpwstr>0</vt:lpwstr>
  </property>
  <property fmtid="{D5CDD505-2E9C-101B-9397-08002B2CF9AE}" pid="9" name="LINKTEK-CHUNK-1">
    <vt:lpwstr>010048{"F":5,"I":"845A-D1B4-EC27-C967","M":"8e3b3667a60848d39b39f0b96f8f9f79"}H4sIAAAAAAAEAK1XYY/aOBD9KxafQOoUO7bjpN9sx6HcsVmOwN1Vp9OKQtrlyhKUhKqrqv/9JsB1Nyy70HLSbkRik3nMvDfz/LU1WKw+la03f31t9VtvWoZqAUEsLGjta4j90LRetYa40tXWXk+ScdodZeVmWZXEox4Hyrv9eJQSprrDA</vt:lpwstr>
  </property>
  <property fmtid="{D5CDD505-2E9C-101B-9397-08002B2CF9AE}" pid="10" name="LINKTEK-CHUNK-2">
    <vt:lpwstr>ZkkkRsN3vWTHjE67aekyMpqWmV32ap6/WVZfml9e7ULFCrGwQ+tAc09CkwGwT5Q783pUKPckelqTka5JpwB8wB3eKS9DzcnH/KC7Dd3moGNNQqMZg682DqQsXanAjOva4tsvqjIaFF+IkleZYR527Vuir+MVDnpj8gOBT8OjjdReIEKgbrIB+4rA0wb8TIKATR8ioKG27XHKGgI20cNFBT2j0nb6s5Nmq9vF9OSLFbrTUWoZKxeu/ns3ZRPCmW0</vt:lpwstr>
  </property>
  <property fmtid="{D5CDD505-2E9C-101B-9397-08002B2CF9AE}" pid="11" name="LINKTEK-CHUNK-3">
    <vt:lpwstr>McgIibSggQXlGXYSKT+ClD9Fyo8gZbB/TH5/jSlWVGxvgKS/EoevxNq2436iBwdljZhCzpqQQqQjA8J4+mziumG6pc9vm2lRZcXy/iwiCaQO+JQr8ILAx8Qwc04Jp2W1WH0s6wQ8lOXgt3iKQcCEActiD7gL+BlvfusG/T93V1JnKLF9PSDpcOR0lL51bvwfW5rBlA1DUJEMIfTwE66HPyBEE9vHGi9vTIq1ukp21GpGir3IgTJWQ6gtg1AG4uw</vt:lpwstr>
  </property>
  <property fmtid="{D5CDD505-2E9C-101B-9397-08002B2CF9AE}" pid="12" name="LINKTEK-CHUNK-4">
    <vt:lpwstr>SPZTGTJfT1Swj6W2WVY3YpF0Xq5hWi7w8ZIewEdhYcUBeeODHKj4jo70i36zJCulb1hzZ80S8puFBCoXnwCnPByfiGJTzoyNv742u+mnqhuMt6U0+LeZkPZ19IvUzd2Xc6Eh1HOUWBEX0Umu8SOtd0ieibJ2XC9z5/p6M79fZsxT0ZYTd3xmKwYMI+1NgX6rV+VFx3DyOSnqj68mwjv09tBQKKyQZ7pES24EwJybDmcEn5pqk2RrJ8j4ryL6r7D</vt:lpwstr>
  </property>
  <property fmtid="{D5CDD505-2E9C-101B-9397-08002B2CF9AE}" pid="13" name="LINKTEK-CHUNK-5">
    <vt:lpwstr>pRu257Nbpf8jJb3x6QJ2R1eTVOqTAyGExZ/v/kwm6KIlvN7p+tgotQJ85iZKpQD8bFZ7WYH5gSz9IQb3tXLhljC2l/KPI7kuYzlFZWknixzDqkXC7mGfHlE4kbUMJIbIfc1RKnJ5WQuD8I3neb8btbYtQLR/Tx/iFDnuRghdAgYokSl+ExsjQD2rysSP5hl6CXxGekqkcfVkfzGAe5Ci9K/7aXhcTmn7Ni+jGrGVBmswp7Vv2pqh+9iIbb2klQB</vt:lpwstr>
  </property>
  <property fmtid="{D5CDD505-2E9C-101B-9397-08002B2CF9AE}" pid="14" name="LINKTEK-CHUNK-6">
    <vt:lpwstr>MKoQmtmz+lhz6LBjbPbbL5Z4pAb5NNV+Z0TuzvENNuUVX6HYtnDfGwjHn29sxMxaZt3JB3rnks7DUGjnnGICRcAZyYA56y+CLi7mmwvZF3k66yoFll5s52mNNyruqhFVmb4Nyf5annfTKQUDCdrTCkYQ32IQ3pRgzmiKh39MknHLiKYkaRvr1OS4KxarHCC4bwi/dUM04pWLC+yrfNJ8hXUN50XCeD5oQTrRA3ZKZDcXETHhzzeISPrCYoVjG3n</vt:lpwstr>
  </property>
  <property fmtid="{D5CDD505-2E9C-101B-9397-08002B2CF9AE}" pid="15" name="LINKTEK-CHUNK-7">
    <vt:lpwstr>uE1gOLjBma0DlBpbc3Rsxl2StKR/Vf8TjebuXX12OIpDUxVBHHE0XIJ7IKl/wq78LI79V0m7n9jBJKqPNG/jdFuuaDhsMtw30gPh0NLbWGPvs+Icw/Zjbl43bbye/4PqRPE108MjtMHcdwy0jBT4gp8o08GxSjfPU9+jkGOG+KAyCq2w79AUW2sciFCeOCj8xMHqMTz+bBJkaJChxqB58FmAzumyTnn24WqP4u9v/wJxLv7LVg8AAA==</vt:lpwstr>
  </property>
  <property fmtid="{D5CDD505-2E9C-101B-9397-08002B2CF9AE}" pid="16" name="MediaServiceImageTags">
    <vt:lpwstr/>
  </property>
  <property fmtid="{D5CDD505-2E9C-101B-9397-08002B2CF9AE}" pid="17" name="ContentTypeId">
    <vt:lpwstr>0x0101004869DDCFDA87CE4CA4F21C6185DB2BB500257A4522FD898D43B30874944552E4A0</vt:lpwstr>
  </property>
</Properties>
</file>