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24226"/>
  <mc:AlternateContent xmlns:mc="http://schemas.openxmlformats.org/markup-compatibility/2006">
    <mc:Choice Requires="x15">
      <x15ac:absPath xmlns:x15ac="http://schemas.microsoft.com/office/spreadsheetml/2010/11/ac" url="Q:\IRD\Attachments\2026\Published\20260804 1H2026 FR\Factsheet\"/>
    </mc:Choice>
  </mc:AlternateContent>
  <xr:revisionPtr revIDLastSave="0" documentId="13_ncr:1_{15008284-C739-4FE1-B8A2-DECB3D803E12}" xr6:coauthVersionLast="47" xr6:coauthVersionMax="47" xr10:uidLastSave="{00000000-0000-0000-0000-000000000000}"/>
  <bookViews>
    <workbookView xWindow="-120" yWindow="-120" windowWidth="25440" windowHeight="15270" tabRatio="936" activeTab="2" xr2:uid="{00000000-000D-0000-FFFF-FFFF00000000}"/>
  </bookViews>
  <sheets>
    <sheet name="COVER" sheetId="15" r:id="rId1"/>
    <sheet name="AS T00 (Contents)" sheetId="1" r:id="rId2"/>
    <sheet name="AS T01 (Key financials-IS)" sheetId="2" r:id="rId3"/>
    <sheet name="AS T02 (Key financials-BS)" sheetId="3" r:id="rId4"/>
    <sheet name="AS T03 (CySeg)" sheetId="4" r:id="rId5"/>
    <sheet name="AS T04 (Gross Loans)" sheetId="5" r:id="rId6"/>
    <sheet name="AS T05 (AQ-90+DPD)" sheetId="6" state="hidden" r:id="rId7"/>
    <sheet name="AS T06 (AQ-NPEs)" sheetId="7" r:id="rId8"/>
    <sheet name="AS T07 (AQ-Rescheduled)" sheetId="13" r:id="rId9"/>
    <sheet name="AS T08.01 REPOSSESSED (REMU)" sheetId="14" r:id="rId10"/>
    <sheet name="AS T08 TOTAL (REMU)" sheetId="8" state="hidden" r:id="rId11"/>
    <sheet name="AS T09 (Capital)" sheetId="9" r:id="rId12"/>
    <sheet name="Disclaimer" sheetId="10" r:id="rId13"/>
  </sheets>
  <definedNames>
    <definedName name="_Hlk106620498" localSheetId="0">COVER!$C$23</definedName>
    <definedName name="_xlnm.Print_Area" localSheetId="2">'AS T01 (Key financials-IS)'!$A$1:$U$82</definedName>
    <definedName name="_xlnm.Print_Area" localSheetId="4">'AS T03 (CySeg)'!$A$1:$AE$221</definedName>
    <definedName name="_xlnm.Print_Area" localSheetId="5">'AS T04 (Gross Loans)'!$A$1:$R$37</definedName>
    <definedName name="_xlnm.Print_Area" localSheetId="6">'AS T05 (AQ-90+DPD)'!$A$1:$P$59</definedName>
    <definedName name="_xlnm.Print_Area" localSheetId="7">'AS T06 (AQ-NPEs)'!#REF!</definedName>
    <definedName name="_xlnm.Print_Area" localSheetId="8">'AS T07 (AQ-Rescheduled)'!$A$1:$Q$10</definedName>
    <definedName name="_xlnm.Print_Area" localSheetId="10">'AS T08 TOTAL (REMU)'!$A$1:$AK$21</definedName>
    <definedName name="_xlnm.Print_Area" localSheetId="9">'AS T08.01 REPOSSESSED (REMU)'!$A$1:$O$28</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U18" i="8" l="1"/>
  <c r="BT18" i="8"/>
  <c r="BS18" i="8"/>
  <c r="BR18" i="8"/>
  <c r="BQ18" i="8"/>
  <c r="BP18" i="8"/>
  <c r="BO18" i="8"/>
  <c r="BN18" i="8"/>
  <c r="BM18" i="8"/>
  <c r="BL18" i="8"/>
  <c r="BI18" i="8"/>
  <c r="BH18" i="8"/>
  <c r="AW18" i="8"/>
  <c r="AV18" i="8"/>
  <c r="AU18" i="8"/>
  <c r="AT18" i="8"/>
  <c r="AS18" i="8"/>
  <c r="AR18" i="8"/>
  <c r="AQ18" i="8"/>
  <c r="AP18" i="8"/>
  <c r="AO18" i="8"/>
  <c r="AN18" i="8"/>
  <c r="Y18" i="8"/>
  <c r="V18" i="8"/>
  <c r="U18" i="8"/>
  <c r="T18" i="8"/>
  <c r="S18" i="8"/>
  <c r="R18" i="8"/>
  <c r="Q18" i="8"/>
  <c r="P18" i="8"/>
  <c r="O18" i="8"/>
  <c r="N18" i="8"/>
  <c r="M18" i="8"/>
  <c r="Y16" i="8"/>
  <c r="T16" i="8"/>
  <c r="S16" i="8"/>
  <c r="R16" i="8"/>
  <c r="Q16" i="8"/>
  <c r="P16" i="8"/>
  <c r="O16" i="8"/>
  <c r="N16" i="8"/>
  <c r="M16" i="8"/>
  <c r="O15" i="8"/>
  <c r="N15" i="8"/>
  <c r="M15" i="8"/>
  <c r="V14" i="8"/>
  <c r="U14" i="8"/>
  <c r="T14" i="8"/>
  <c r="BE18" i="8"/>
  <c r="S14" i="8"/>
  <c r="BD18" i="8"/>
  <c r="R14" i="8"/>
  <c r="Q14" i="8"/>
  <c r="P14" i="8"/>
  <c r="O14" i="8"/>
  <c r="N14" i="8"/>
  <c r="M14" i="8"/>
  <c r="V13" i="8"/>
  <c r="U13" i="8"/>
  <c r="T13" i="8"/>
  <c r="S13" i="8"/>
  <c r="R13" i="8"/>
  <c r="Q13" i="8"/>
  <c r="P13" i="8"/>
  <c r="O13" i="8"/>
  <c r="N13" i="8"/>
  <c r="M13" i="8"/>
  <c r="V12" i="8"/>
  <c r="BG18" i="8"/>
  <c r="U12" i="8"/>
  <c r="T12" i="8"/>
  <c r="S12" i="8"/>
  <c r="R12" i="8"/>
  <c r="Q12" i="8"/>
  <c r="BB18" i="8"/>
  <c r="P12" i="8"/>
  <c r="O12" i="8"/>
  <c r="N12" i="8"/>
  <c r="AY18" i="8"/>
  <c r="M12" i="8"/>
  <c r="BU10" i="8"/>
  <c r="BT10" i="8"/>
  <c r="BS10" i="8"/>
  <c r="BR10" i="8"/>
  <c r="BQ10" i="8"/>
  <c r="BP10" i="8"/>
  <c r="BO10" i="8"/>
  <c r="BN10" i="8"/>
  <c r="BM10" i="8"/>
  <c r="BH10" i="8"/>
  <c r="BG10" i="8"/>
  <c r="BE10" i="8"/>
  <c r="BB10" i="8"/>
  <c r="BA10" i="8"/>
  <c r="AT10" i="8"/>
  <c r="AS10" i="8"/>
  <c r="AR10" i="8"/>
  <c r="AQ10" i="8"/>
  <c r="AP10" i="8"/>
  <c r="AO10" i="8"/>
  <c r="AN10" i="8"/>
  <c r="BU9" i="8"/>
  <c r="BT9" i="8"/>
  <c r="BS9" i="8"/>
  <c r="BR9" i="8"/>
  <c r="BQ9" i="8"/>
  <c r="BP9" i="8"/>
  <c r="BO9" i="8"/>
  <c r="BN9" i="8"/>
  <c r="BM9" i="8"/>
  <c r="AS9" i="8"/>
  <c r="AR9" i="8"/>
  <c r="AQ9" i="8"/>
  <c r="AP9" i="8"/>
  <c r="AO9" i="8"/>
  <c r="AA9" i="8"/>
  <c r="BL10" i="8"/>
  <c r="Z9" i="8"/>
  <c r="BK10" i="8"/>
  <c r="Y9" i="8"/>
  <c r="BJ10" i="8"/>
  <c r="X9" i="8"/>
  <c r="BI10" i="8"/>
  <c r="W9" i="8"/>
  <c r="V9" i="8"/>
  <c r="U9" i="8"/>
  <c r="BF9" i="8"/>
  <c r="T9" i="8"/>
  <c r="S9" i="8"/>
  <c r="R9" i="8"/>
  <c r="BC10" i="8"/>
  <c r="Q9" i="8"/>
  <c r="P9" i="8"/>
  <c r="O9" i="8"/>
  <c r="AZ10" i="8"/>
  <c r="N9" i="8"/>
  <c r="AY10" i="8"/>
  <c r="M9" i="8"/>
  <c r="AX10" i="8"/>
  <c r="L9" i="8"/>
  <c r="AW10" i="8"/>
  <c r="K9" i="8"/>
  <c r="AV10" i="8"/>
  <c r="J9" i="8"/>
  <c r="AU10" i="8"/>
  <c r="I9" i="8"/>
  <c r="C9" i="8"/>
  <c r="B9" i="8"/>
  <c r="AM10" i="8"/>
  <c r="AA8" i="8"/>
  <c r="BL9" i="8"/>
  <c r="Z8" i="8"/>
  <c r="Y8" i="8"/>
  <c r="X8" i="8"/>
  <c r="W8" i="8"/>
  <c r="V8" i="8"/>
  <c r="U8" i="8"/>
  <c r="T8" i="8"/>
  <c r="S8" i="8"/>
  <c r="R8" i="8"/>
  <c r="Q8" i="8"/>
  <c r="P8" i="8"/>
  <c r="O8" i="8"/>
  <c r="N8" i="8"/>
  <c r="M8" i="8"/>
  <c r="X7" i="8"/>
  <c r="W7" i="8"/>
  <c r="V7" i="8"/>
  <c r="T7" i="8"/>
  <c r="S7" i="8"/>
  <c r="R7" i="8"/>
  <c r="Q7" i="8"/>
  <c r="P7" i="8"/>
  <c r="BA9" i="8"/>
  <c r="O7" i="8"/>
  <c r="AZ9" i="8"/>
  <c r="N7" i="8"/>
  <c r="AY9" i="8"/>
  <c r="X6" i="8"/>
  <c r="W6" i="8"/>
  <c r="V6" i="8"/>
  <c r="U6" i="8"/>
  <c r="T6" i="8"/>
  <c r="S6" i="8"/>
  <c r="R6" i="8"/>
  <c r="Q6" i="8"/>
  <c r="P6" i="8"/>
  <c r="O6" i="8"/>
  <c r="N6" i="8"/>
  <c r="M6" i="8"/>
  <c r="X5" i="8"/>
  <c r="W5" i="8"/>
  <c r="V5" i="8"/>
  <c r="U5" i="8"/>
  <c r="T5" i="8"/>
  <c r="S5" i="8"/>
  <c r="R5" i="8"/>
  <c r="Q5" i="8"/>
  <c r="P5" i="8"/>
  <c r="O5" i="8"/>
  <c r="N5" i="8"/>
  <c r="M5" i="8"/>
  <c r="Y4" i="8"/>
  <c r="X4" i="8"/>
  <c r="BI9" i="8"/>
  <c r="W4" i="8"/>
  <c r="BH9" i="8"/>
  <c r="V4" i="8"/>
  <c r="BG9" i="8"/>
  <c r="U4" i="8"/>
  <c r="T4" i="8"/>
  <c r="S4" i="8"/>
  <c r="R4" i="8"/>
  <c r="Q4" i="8"/>
  <c r="P4" i="8"/>
  <c r="O4" i="8"/>
  <c r="N4" i="8"/>
  <c r="M4" i="8"/>
  <c r="AX9" i="8"/>
  <c r="L4" i="8"/>
  <c r="K4" i="8"/>
  <c r="J4" i="8"/>
  <c r="AU9" i="8"/>
  <c r="I4" i="8"/>
  <c r="AT9" i="8"/>
  <c r="C4" i="8"/>
  <c r="B4" i="8"/>
  <c r="AX18" i="8"/>
  <c r="AZ18" i="8"/>
  <c r="BA18" i="8"/>
  <c r="BB9" i="8"/>
  <c r="BD9" i="8"/>
  <c r="BC9" i="8"/>
  <c r="BE9" i="8"/>
  <c r="BF18" i="8"/>
  <c r="AN9" i="8"/>
  <c r="BJ18" i="8"/>
  <c r="BC18" i="8"/>
  <c r="AV9" i="8"/>
  <c r="BJ9" i="8"/>
  <c r="AW9" i="8"/>
  <c r="BK9" i="8"/>
  <c r="BD10" i="8"/>
  <c r="BF10" i="8"/>
  <c r="AM18" i="8"/>
  <c r="AM9"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tc={CD185F85-ED42-4106-802B-CAB92037632D}</author>
    <author>tc={AD3D9B7F-25DE-4ACB-A678-A5B2DD353F99}</author>
    <author>tc={D1022B8F-A23A-4325-AEB6-456DF4BB2500}</author>
    <author>tc={2C1E4D14-5FB3-4B0E-971E-C6DADB3D5372}</author>
    <author>tc={74CD2C05-87BD-4FF7-9A8B-6C612AB7F583}</author>
    <author>tc={02738093-7333-4DEE-9C2C-7C52A566B7CF}</author>
    <author>tc={BFC1380A-5C9F-4332-A0D2-87B106F8F276}</author>
    <author>tc={387997AB-A624-4006-955A-402F74792DD3}</author>
    <author>tc={E912D9D8-9900-4DAC-BD8B-DF8105E551B9}</author>
    <author>tc={9A6F9B84-F839-4983-93AA-0547AE3703BE}</author>
    <author>tc={4C8B5886-F09B-413A-BB1F-0D26EC0E1739}</author>
    <author>tc={E56B2942-125C-4A40-ACAC-89F0B98609A5}</author>
    <author>tc={7340BB1B-F2CB-43F8-9EE2-908C49A0A4E7}</author>
    <author>tc={AF4969F9-7841-4B81-804D-ABF2138AB7CB}</author>
    <author>tc={D0B0F915-6A0A-493D-8D1F-42FFFC87D24E}</author>
    <author>tc={A5F6F419-028A-40B2-B350-AAF06284944D}</author>
    <author>tc={2E15296A-2F1E-428D-A365-285F6E108ADE}</author>
    <author>tc={EE6357B1-D031-49F6-AC96-C291430A88FD}</author>
    <author>tc={F4487064-57A4-4329-BED2-93F8936179A6}</author>
    <author>tc={82AD2B1E-6C89-4150-AC31-10F2BDC2A79E}</author>
    <author>tc={B6C3E0C0-F326-424E-9B50-11990D286421}</author>
    <author>tc={32D59083-D96A-41BD-A84B-E28327E27D43}</author>
    <author>tc={26213D61-86EE-408C-BEF4-EEC79F3E8ECE}</author>
    <author>tc={74EFEF1E-3927-4773-90FA-1CE302EE7029}</author>
    <author>tc={E325DBC9-761B-42C8-87BE-7CE638E25F64}</author>
    <author>tc={9002338A-012C-4322-9AB4-1C26D93CD973}</author>
    <author>tc={B5FCC5FC-4456-4346-8311-9B09441526F6}</author>
    <author>tc={7D1713D9-00FE-4965-8454-7D403567D235}</author>
    <author>tc={B89FC146-38C1-44CB-8B1B-25E2776EF48B}</author>
    <author>tc={A08FBFA1-0221-482C-BE80-09A7A4F99CCA}</author>
    <author>tc={1C45D51A-5031-46B5-BAD3-91BEB816BE5C}</author>
    <author>tc={56F84846-413F-4A38-AD68-2326B60D119C}</author>
    <author>tc={84767A09-CD0E-400B-A976-724F3411F427}</author>
    <author>tc={6B31FED5-9687-444A-9528-BC556501FD92}</author>
    <author>tc={1D232193-C157-4615-A889-F7D78C8F4D4F}</author>
    <author>tc={DB1E1D6F-267E-4575-9FB1-C6577693A87B}</author>
    <author>tc={89B11A40-D2FD-4231-B411-AF3B883BAEB8}</author>
    <author>tc={317EEF1D-802E-4B37-98C2-62A8CED3D203}</author>
    <author>tc={82C381D1-61EA-4BC2-B177-5E0E34629600}</author>
    <author>tc={2A4B5545-04C3-4F98-B822-F7C17EE92AB0}</author>
    <author>tc={F59E9E6C-7CAA-4FE9-A42F-1DBFD7B0C63F}</author>
    <author>tc={760B8C7C-4674-40C8-A887-9B81AEE05ABB}</author>
    <author>tc={ED1AF4DF-5F49-42C3-81A6-9DF8BD680A7F}</author>
    <author>tc={E647686C-98F6-42E7-AFCB-A8E1FC320196}</author>
    <author>tc={64C96A01-F527-4032-A373-8F396FAF511D}</author>
    <author>tc={FC951008-5D2F-465D-8B56-07090BBD2CCD}</author>
    <author>tc={2424505B-FD82-4C6E-9EA5-D429B68D7043}</author>
    <author>tc={0D7818F3-3C4B-4015-8D31-81684DE43D7A}</author>
    <author>tc={50BE2D81-1351-4433-A241-F0A90897DC9B}</author>
    <author>tc={B396135D-53E1-4A6D-A998-0FF75DE64463}</author>
    <author>tc={28D0BD1E-4455-4487-8C2E-2F69D1759175}</author>
    <author>tc={39DB0A8D-5DA9-4231-B844-A7A85FFD5C9E}</author>
    <author>tc={D9CB0664-1E1E-4B02-B9E2-1881BB659369}</author>
    <author>tc={8C1307EC-17E6-47F6-A6FB-C3E64900C473}</author>
    <author>tc={90C49523-81ED-4A3A-9636-D2AC320490BB}</author>
    <author>tc={6932F31B-3CC9-4345-A5E5-99DE39B41887}</author>
    <author>tc={ECB6789B-33A5-433A-BA50-106630DCE20E}</author>
    <author>tc={A79C86C9-ADE5-4AF0-8B06-77CCCFB6B91B}</author>
    <author>tc={4EBA0AE6-D5C1-44B9-8229-5571D62CCB53}</author>
    <author>tc={7FCFB436-CA0A-4392-A540-ECD4090E4A4E}</author>
    <author>tc={3B940FBA-1BAF-435B-A93F-CC823BFA2B44}</author>
    <author>tc={C1BCFE0A-6812-4952-B1DB-184F563E24DA}</author>
    <author>tc={D1207D5D-B7C2-4D2D-8D91-F87F60626F35}</author>
    <author>tc={565E2578-E1AA-41EB-9757-92F303A0E766}</author>
    <author>tc={DDDEC752-9289-4AEC-BAAB-A6EDBEDC0052}</author>
    <author>tc={6F613829-54FD-4E0B-AA88-9AB609DC4FCB}</author>
    <author>tc={C4694E78-8FD8-4E57-949B-C7451947F95E}</author>
    <author>tc={1663FBB2-EF99-4B66-9D5C-7281F444F923}</author>
    <author>tc={825325EC-5387-441E-8FCF-2DE170B5774E}</author>
    <author>tc={CEE035D6-EAC7-48BE-A13D-B1FF55FD4E08}</author>
    <author>tc={779EAF29-365A-4EDC-8CB4-E2FB98C6CE81}</author>
    <author>tc={F89B743B-86E8-443B-A958-D6514B8661C2}</author>
    <author>tc={32D46ADD-32A8-4D6E-BC67-0A034A43C2D3}</author>
    <author>tc={B590C835-BC65-4417-8494-C478062F9099}</author>
    <author>tc={448AD738-A8F4-4B86-A96A-A735F45AE8FD}</author>
    <author>tc={2280DAE8-690E-4757-ACBF-897197B8DD0E}</author>
    <author>tc={10991E38-0A2A-4279-B29E-64DAC4E20DC9}</author>
    <author>tc={17B44FCA-96FA-4565-A538-ADE9A92E5B43}</author>
    <author>tc={DA4E602B-4599-443A-9E2E-6B8DA663570F}</author>
    <author>tc={1EC5CE94-EFB0-46D6-9A0F-F022F15317AF}</author>
    <author>tc={6BFAEE14-ACD5-41AD-A2BC-53AD604D835C}</author>
    <author>tc={5C133AAE-88A3-4D74-BADD-C770ADDE7FEA}</author>
    <author>tc={C97C0B8D-73B1-479B-8C3B-66FF1A78CAC0}</author>
    <author>tc={D64337B0-895A-44A6-9274-F3FC1433E660}</author>
    <author>tc={8BA2FA87-4CC0-4CE8-9C08-3C46D25F19D5}</author>
    <author>tc={57BBB889-EC4A-4040-A4C6-C007896D9C17}</author>
    <author>tc={F0CF1B4F-464A-4AD8-A2AA-D5476AFC281A}</author>
    <author>tc={F6AC3783-566A-4C15-93EC-1F7F137E6F1E}</author>
    <author>tc={04AAA704-8410-453D-8315-1EB9A7E76A03}</author>
    <author>tc={56149233-8F93-4A40-AE43-BFE1FC9174A0}</author>
    <author>tc={C2417CB3-D145-4F20-ACFC-9C34274A97DC}</author>
    <author>tc={0259F938-2CB9-492B-82FF-BCEE0C109C2E}</author>
    <author>tc={3E58394A-7770-43B8-A8C9-7DD776708194}</author>
    <author>tc={09CB27EA-9468-4CC6-BE18-59E60B2A8712}</author>
    <author>tc={D5AD18C1-6731-4EEA-8226-A7CB3EB75248}</author>
    <author>tc={AEE9378C-FA6A-482B-89B3-005B78FF500F}</author>
    <author>tc={35AC5EE0-802D-47F8-9248-1FD92E481093}</author>
  </authors>
  <commentList>
    <comment ref="B4" authorId="0" shapeId="0" xr:uid="{CD185F85-ED42-4106-802B-CAB92037632D}">
      <text>
        <t xml:space="preserve">[Threaded comment]
Your version of Excel allows you to read this threaded comment; however, any edits to it will get removed if the file is opened in a newer version of Excel. Learn more: https://go.microsoft.com/fwlink/?linkid=870924
Comment:
    including A80120 and A80130
+1,618 CYP001 A80130
+3,796 CYP041 A80130
including: Laiki Small Units 1,477
excluding: GIC -1.243
</t>
      </text>
    </comment>
    <comment ref="C4" authorId="1" shapeId="0" xr:uid="{AD3D9B7F-25DE-4ACB-A678-A5B2DD353F99}">
      <text>
        <t xml:space="preserve">[Threaded comment]
Your version of Excel allows you to read this threaded comment; however, any edits to it will get removed if the file is opened in a newer version of Excel. Learn more: https://go.microsoft.com/fwlink/?linkid=870924
Comment:
    including A80120 and A80130
+1,618 CYP001 A80130
+3,796 CYP041 A80130
including: Laiki Small Units 1,477
excluding: GIC -1.243
</t>
      </text>
    </comment>
    <comment ref="D4" authorId="2" shapeId="0" xr:uid="{D1022B8F-A23A-4325-AEB6-456DF4BB2500}">
      <text>
        <t xml:space="preserve">[Threaded comment]
Your version of Excel allows you to read this threaded comment; however, any edits to it will get removed if the file is opened in a newer version of Excel. Learn more: https://go.microsoft.com/fwlink/?linkid=870924
Comment:
    including A80120 and A80130
+1,618 CYP001 A80130
+3,796 CYP041 A80130
including: Laiki Small Units 1,477
excluding: GIC -1.243
</t>
      </text>
    </comment>
    <comment ref="E4" authorId="3" shapeId="0" xr:uid="{2C1E4D14-5FB3-4B0E-971E-C6DADB3D5372}">
      <text>
        <t xml:space="preserve">[Threaded comment]
Your version of Excel allows you to read this threaded comment; however, any edits to it will get removed if the file is opened in a newer version of Excel. Learn more: https://go.microsoft.com/fwlink/?linkid=870924
Comment:
    including A80120 and A80130
+1,618 CYP001 A80130
+3,796 CYP041 A80130
including: Laiki Small Units 1,477
excluding: GIC -1.243
</t>
      </text>
    </comment>
    <comment ref="F4" authorId="4" shapeId="0" xr:uid="{74CD2C05-87BD-4FF7-9A8B-6C612AB7F583}">
      <text>
        <t>[Threaded comment]
Your version of Excel allows you to read this threaded comment; however, any edits to it will get removed if the file is opened in a newer version of Excel. Learn more: https://go.microsoft.com/fwlink/?linkid=870924
Comment:
    including A80120
including: Laiki Small Units 1,477
excluding: GIC -1,243</t>
      </text>
    </comment>
    <comment ref="G4" authorId="5" shapeId="0" xr:uid="{02738093-7333-4DEE-9C2C-7C52A566B7CF}">
      <text>
        <t>[Threaded comment]
Your version of Excel allows you to read this threaded comment; however, any edits to it will get removed if the file is opened in a newer version of Excel. Learn more: https://go.microsoft.com/fwlink/?linkid=870924
Comment:
    including A80120
including: Laiki Small Units 1,477
excluding: GIC -1,243</t>
      </text>
    </comment>
    <comment ref="H4" authorId="6" shapeId="0" xr:uid="{BFC1380A-5C9F-4332-A0D2-87B106F8F276}">
      <text>
        <t>[Threaded comment]
Your version of Excel allows you to read this threaded comment; however, any edits to it will get removed if the file is opened in a newer version of Excel. Learn more: https://go.microsoft.com/fwlink/?linkid=870924
Comment:
    including 
Laiki Small Units 1,477
-1,243 GIC</t>
      </text>
    </comment>
    <comment ref="I4" authorId="7" shapeId="0" xr:uid="{387997AB-A624-4006-955A-402F74792DD3}">
      <text>
        <t>[Threaded comment]
Your version of Excel allows you to read this threaded comment; however, any edits to it will get removed if the file is opened in a newer version of Excel. Learn more: https://go.microsoft.com/fwlink/?linkid=870924
Comment:
    including 
Laiki Small Units 1,477
-1,243 GIC</t>
      </text>
    </comment>
    <comment ref="J4" authorId="8" shapeId="0" xr:uid="{E912D9D8-9900-4DAC-BD8B-DF8105E551B9}">
      <text>
        <t>[Threaded comment]
Your version of Excel allows you to read this threaded comment; however, any edits to it will get removed if the file is opened in a newer version of Excel. Learn more: https://go.microsoft.com/fwlink/?linkid=870924
Comment:
    including 
KPI 15,090
Laiki Small Units 1,477</t>
      </text>
    </comment>
    <comment ref="K4" authorId="9" shapeId="0" xr:uid="{9A6F9B84-F839-4983-93AA-0547AE3703BE}">
      <text>
        <t>[Threaded comment]
Your version of Excel allows you to read this threaded comment; however, any edits to it will get removed if the file is opened in a newer version of Excel. Learn more: https://go.microsoft.com/fwlink/?linkid=870924
Comment:
    including 
KPI 15,090
Laiki Small Units 1,477</t>
      </text>
    </comment>
    <comment ref="L4" authorId="10" shapeId="0" xr:uid="{4C8B5886-F09B-413A-BB1F-0D26EC0E1739}">
      <text>
        <t>[Threaded comment]
Your version of Excel allows you to read this threaded comment; however, any edits to it will get removed if the file is opened in a newer version of Excel. Learn more: https://go.microsoft.com/fwlink/?linkid=870924
Comment:
    including 
KPI 15,090
Laiki Small Units 1,477</t>
      </text>
    </comment>
    <comment ref="M4" authorId="11" shapeId="0" xr:uid="{E56B2942-125C-4A40-ACAC-89F0B98609A5}">
      <text>
        <t>[Threaded comment]
Your version of Excel allows you to read this threaded comment; however, any edits to it will get removed if the file is opened in a newer version of Excel. Learn more: https://go.microsoft.com/fwlink/?linkid=870924
Comment:
    including 
KPI 15,090
Laiki Small Units 1,477</t>
      </text>
    </comment>
    <comment ref="N4" authorId="12" shapeId="0" xr:uid="{7340BB1B-F2CB-43F8-9EE2-908C49A0A4E7}">
      <text>
        <t>[Threaded comment]
Your version of Excel allows you to read this threaded comment; however, any edits to it will get removed if the file is opened in a newer version of Excel. Learn more: https://go.microsoft.com/fwlink/?linkid=870924
Comment:
    including 
KPI 15,775
Laiki Small Units 1,477</t>
      </text>
    </comment>
    <comment ref="O4" authorId="13" shapeId="0" xr:uid="{AF4969F9-7841-4B81-804D-ABF2138AB7CB}">
      <text>
        <t>[Threaded comment]
Your version of Excel allows you to read this threaded comment; however, any edits to it will get removed if the file is opened in a newer version of Excel. Learn more: https://go.microsoft.com/fwlink/?linkid=870924
Comment:
    including 
KPI 15,775
Laiki Small Units 1,477</t>
      </text>
    </comment>
    <comment ref="P4" authorId="14" shapeId="0" xr:uid="{D0B0F915-6A0A-493D-8D1F-42FFFC87D24E}">
      <text>
        <t>[Threaded comment]
Your version of Excel allows you to read this threaded comment; however, any edits to it will get removed if the file is opened in a newer version of Excel. Learn more: https://go.microsoft.com/fwlink/?linkid=870924
Comment:
    including 
KPI 15,775
Laiki Small Units 1,477</t>
      </text>
    </comment>
    <comment ref="B5" authorId="15" shapeId="0" xr:uid="{A5F6F419-028A-40B2-B350-AAF06284944D}">
      <text>
        <t>[Threaded comment]
Your version of Excel allows you to read this threaded comment; however, any edits to it will get removed if the file is opened in a newer version of Excel. Learn more: https://go.microsoft.com/fwlink/?linkid=870924
Comment:
    2,231 Capitalization of Stock of Properties</t>
      </text>
    </comment>
    <comment ref="C5" authorId="16" shapeId="0" xr:uid="{2E15296A-2F1E-428D-A365-285F6E108ADE}">
      <text>
        <t>[Threaded comment]
Your version of Excel allows you to read this threaded comment; however, any edits to it will get removed if the file is opened in a newer version of Excel. Learn more: https://go.microsoft.com/fwlink/?linkid=870924
Comment:
    2,231 Capitalization of Stock of Properties</t>
      </text>
    </comment>
    <comment ref="D5" authorId="17" shapeId="0" xr:uid="{EE6357B1-D031-49F6-AC96-C291430A88FD}">
      <text>
        <t>[Threaded comment]
Your version of Excel allows you to read this threaded comment; however, any edits to it will get removed if the file is opened in a newer version of Excel. Learn more: https://go.microsoft.com/fwlink/?linkid=870924
Comment:
    2,231 Capitalization of Stock of Properties</t>
      </text>
    </comment>
    <comment ref="E5" authorId="18" shapeId="0" xr:uid="{F4487064-57A4-4329-BED2-93F8936179A6}">
      <text>
        <t>[Threaded comment]
Your version of Excel allows you to read this threaded comment; however, any edits to it will get removed if the file is opened in a newer version of Excel. Learn more: https://go.microsoft.com/fwlink/?linkid=870924
Comment:
    3,189 Capitalization of Stock of Properties</t>
      </text>
    </comment>
    <comment ref="F5" authorId="19" shapeId="0" xr:uid="{82AD2B1E-6C89-4150-AC31-10F2BDC2A79E}">
      <text>
        <t>[Threaded comment]
Your version of Excel allows you to read this threaded comment; however, any edits to it will get removed if the file is opened in a newer version of Excel. Learn more: https://go.microsoft.com/fwlink/?linkid=870924
Comment:
    3,189 Capitalization of Stock of Properties</t>
      </text>
    </comment>
    <comment ref="G5" authorId="20" shapeId="0" xr:uid="{B6C3E0C0-F326-424E-9B50-11990D286421}">
      <text>
        <t>[Threaded comment]
Your version of Excel allows you to read this threaded comment; however, any edits to it will get removed if the file is opened in a newer version of Excel. Learn more: https://go.microsoft.com/fwlink/?linkid=870924
Comment:
    3,189 Capitalization of Stock of Properties</t>
      </text>
    </comment>
    <comment ref="H5" authorId="21" shapeId="0" xr:uid="{32D59083-D96A-41BD-A84B-E28327E27D43}">
      <text>
        <t>[Threaded comment]
Your version of Excel allows you to read this threaded comment; however, any edits to it will get removed if the file is opened in a newer version of Excel. Learn more: https://go.microsoft.com/fwlink/?linkid=870924
Comment:
    3,189 Capitalization of Stock of Properties</t>
      </text>
    </comment>
    <comment ref="I5" authorId="22" shapeId="0" xr:uid="{26213D61-86EE-408C-BEF4-EEC79F3E8ECE}">
      <text>
        <t>[Threaded comment]
Your version of Excel allows you to read this threaded comment; however, any edits to it will get removed if the file is opened in a newer version of Excel. Learn more: https://go.microsoft.com/fwlink/?linkid=870924
Comment:
    3,189 Capitalization of Stock of Properties</t>
      </text>
    </comment>
    <comment ref="J5" authorId="23" shapeId="0" xr:uid="{74EFEF1E-3927-4773-90FA-1CE302EE7029}">
      <text>
        <t>[Threaded comment]
Your version of Excel allows you to read this threaded comment; however, any edits to it will get removed if the file is opened in a newer version of Excel. Learn more: https://go.microsoft.com/fwlink/?linkid=870924
Comment:
    3,189 Capitalization of Stock of Properties</t>
      </text>
    </comment>
    <comment ref="K5" authorId="24" shapeId="0" xr:uid="{E325DBC9-761B-42C8-87BE-7CE638E25F64}">
      <text>
        <t>[Threaded comment]
Your version of Excel allows you to read this threaded comment; however, any edits to it will get removed if the file is opened in a newer version of Excel. Learn more: https://go.microsoft.com/fwlink/?linkid=870924
Comment:
    3,189 Capitalization of Stock of Properties</t>
      </text>
    </comment>
    <comment ref="L5" authorId="25" shapeId="0" xr:uid="{9002338A-012C-4322-9AB4-1C26D93CD973}">
      <text>
        <t>[Threaded comment]
Your version of Excel allows you to read this threaded comment; however, any edits to it will get removed if the file is opened in a newer version of Excel. Learn more: https://go.microsoft.com/fwlink/?linkid=870924
Comment:
    3,178 Capitalization of Stock of Properties</t>
      </text>
    </comment>
    <comment ref="M5" authorId="26" shapeId="0" xr:uid="{B5FCC5FC-4456-4346-8311-9B09441526F6}">
      <text>
        <t>[Threaded comment]
Your version of Excel allows you to read this threaded comment; however, any edits to it will get removed if the file is opened in a newer version of Excel. Learn more: https://go.microsoft.com/fwlink/?linkid=870924
Comment:
    3,037 Capitalization of Stock of Properties</t>
      </text>
    </comment>
    <comment ref="Q5" authorId="27" shapeId="0" xr:uid="{7D1713D9-00FE-4965-8454-7D403567D235}">
      <text>
        <t>[Threaded comment]
Your version of Excel allows you to read this threaded comment; however, any edits to it will get removed if the file is opened in a newer version of Excel. Learn more: https://go.microsoft.com/fwlink/?linkid=870924
Comment:
    21,805 Ex-Laiki Building (Fota Kalispera)</t>
      </text>
    </comment>
    <comment ref="R5" authorId="28" shapeId="0" xr:uid="{B89FC146-38C1-44CB-8B1B-25E2776EF48B}">
      <text>
        <t>[Threaded comment]
Your version of Excel allows you to read this threaded comment; however, any edits to it will get removed if the file is opened in a newer version of Excel. Learn more: https://go.microsoft.com/fwlink/?linkid=870924
Comment:
    21,805 Ex-Laiki Building (Fota Kalispera)</t>
      </text>
    </comment>
    <comment ref="X6" authorId="29" shapeId="0" xr:uid="{A08FBFA1-0221-482C-BE80-09A7A4F99CCA}">
      <text>
        <t xml:space="preserve">[Threaded comment]
Your version of Excel allows you to read this threaded comment; however, any edits to it will get removed if the file is opened in a newer version of Excel. Learn more: https://go.microsoft.com/fwlink/?linkid=870924
Comment:
    91,569
+HELIX
</t>
      </text>
    </comment>
    <comment ref="E7" authorId="30" shapeId="0" xr:uid="{1C45D51A-5031-46B5-BAD3-91BEB816BE5C}">
      <text>
        <t>[Threaded comment]
Your version of Excel allows you to read this threaded comment; however, any edits to it will get removed if the file is opened in a newer version of Excel. Learn more: https://go.microsoft.com/fwlink/?linkid=870924
Comment:
    Mainly, Edoric Properties Ltd
Orphanides Mall
Transferred from Stock of Properties (which was in CYP041) to own properties in CYP001 books</t>
      </text>
    </comment>
    <comment ref="F7" authorId="31" shapeId="0" xr:uid="{56F84846-413F-4A38-AD68-2326B60D119C}">
      <text>
        <t>[Threaded comment]
Your version of Excel allows you to read this threaded comment; however, any edits to it will get removed if the file is opened in a newer version of Excel. Learn more: https://go.microsoft.com/fwlink/?linkid=870924
Comment:
    Mainly, Edoric Properties Ltd
Orphanides Mall
Transferred from Stock of Properties (which was in CYP041) to own properties in CYP001 books</t>
      </text>
    </comment>
    <comment ref="G7" authorId="32" shapeId="0" xr:uid="{84767A09-CD0E-400B-A976-724F3411F427}">
      <text>
        <t>[Threaded comment]
Your version of Excel allows you to read this threaded comment; however, any edits to it will get removed if the file is opened in a newer version of Excel. Learn more: https://go.microsoft.com/fwlink/?linkid=870924
Comment:
    Mainly, Edoric Properties Ltd
Orphanides Mall
Transferred from Stock of Properties (which was in CYP041) to own properties in CYP001 books</t>
      </text>
    </comment>
    <comment ref="H7" authorId="33" shapeId="0" xr:uid="{6B31FED5-9687-444A-9528-BC556501FD92}">
      <text>
        <t xml:space="preserve">[Threaded comment]
Your version of Excel allows you to read this threaded comment; however, any edits to it will get removed if the file is opened in a newer version of Excel. Learn more: https://go.microsoft.com/fwlink/?linkid=870924
Comment:
    Mainly, Edoric Properties Ltd
Orphanides Mall
Transferred from Stock of Properties (which was in CYP041) to own properties in CYP001 books
</t>
      </text>
    </comment>
    <comment ref="I7" authorId="34" shapeId="0" xr:uid="{1D232193-C157-4615-A889-F7D78C8F4D4F}">
      <text>
        <t xml:space="preserve">[Threaded comment]
Your version of Excel allows you to read this threaded comment; however, any edits to it will get removed if the file is opened in a newer version of Excel. Learn more: https://go.microsoft.com/fwlink/?linkid=870924
Comment:
    Mainly, Edoric Properties Ltd
Orphanides Mall
Transferred from Stock of Properties (which was in CYP041) to own properties in CYP001 books
</t>
      </text>
    </comment>
    <comment ref="N7" authorId="35" shapeId="0" xr:uid="{DB1E1D6F-267E-4575-9FB1-C6577693A87B}">
      <text>
        <t>[Threaded comment]
Your version of Excel allows you to read this threaded comment; however, any edits to it will get removed if the file is opened in a newer version of Excel. Learn more: https://go.microsoft.com/fwlink/?linkid=870924
Comment:
    HFS Stock of Properties (Helix 2&amp;3)</t>
      </text>
    </comment>
    <comment ref="O7" authorId="36" shapeId="0" xr:uid="{89B11A40-D2FD-4231-B411-AF3B883BAEB8}">
      <text>
        <t>[Threaded comment]
Your version of Excel allows you to read this threaded comment; however, any edits to it will get removed if the file is opened in a newer version of Excel. Learn more: https://go.microsoft.com/fwlink/?linkid=870924
Comment:
    HFS Stock of Properties (Helix 2&amp;3)</t>
      </text>
    </comment>
    <comment ref="P7" authorId="37" shapeId="0" xr:uid="{317EEF1D-802E-4B37-98C2-62A8CED3D203}">
      <text>
        <t>[Threaded comment]
Your version of Excel allows you to read this threaded comment; however, any edits to it will get removed if the file is opened in a newer version of Excel. Learn more: https://go.microsoft.com/fwlink/?linkid=870924
Comment:
    HFS Stock of Properties (Helix 2)</t>
      </text>
    </comment>
    <comment ref="Q7" authorId="38" shapeId="0" xr:uid="{82C381D1-61EA-4BC2-B177-5E0E34629600}">
      <text>
        <t>[Threaded comment]
Your version of Excel allows you to read this threaded comment; however, any edits to it will get removed if the file is opened in a newer version of Excel. Learn more: https://go.microsoft.com/fwlink/?linkid=870924
Comment:
    HFS Stock of Properties (Helix 2)</t>
      </text>
    </comment>
    <comment ref="R7" authorId="39" shapeId="0" xr:uid="{2A4B5545-04C3-4F98-B822-F7C17EE92AB0}">
      <text>
        <t>[Threaded comment]
Your version of Excel allows you to read this threaded comment; however, any edits to it will get removed if the file is opened in a newer version of Excel. Learn more: https://go.microsoft.com/fwlink/?linkid=870924
Comment:
    HFS Stock of Properties (Helix 2)</t>
      </text>
    </comment>
    <comment ref="S7" authorId="40" shapeId="0" xr:uid="{F59E9E6C-7CAA-4FE9-A42F-1DBFD7B0C63F}">
      <text>
        <t>[Threaded comment]
Your version of Excel allows you to read this threaded comment; however, any edits to it will get removed if the file is opened in a newer version of Excel. Learn more: https://go.microsoft.com/fwlink/?linkid=870924
Comment:
    HFS Stock of Properties (Helix 2)</t>
      </text>
    </comment>
    <comment ref="T7" authorId="41" shapeId="0" xr:uid="{760B8C7C-4674-40C8-A887-9B81AEE05ABB}">
      <text>
        <t>[Threaded comment]
Your version of Excel allows you to read this threaded comment; however, any edits to it will get removed if the file is opened in a newer version of Excel. Learn more: https://go.microsoft.com/fwlink/?linkid=870924
Comment:
    HFS Stock of Properties (Helix 2)</t>
      </text>
    </comment>
    <comment ref="Z7" authorId="42" shapeId="0" xr:uid="{ED1AF4DF-5F49-42C3-81A6-9DF8BD680A7F}">
      <text>
        <t>[Threaded comment]
Your version of Excel allows you to read this threaded comment; however, any edits to it will get removed if the file is opened in a newer version of Excel. Learn more: https://go.microsoft.com/fwlink/?linkid=870924
Comment:
    AIF</t>
      </text>
    </comment>
    <comment ref="AA7" authorId="43" shapeId="0" xr:uid="{E647686C-98F6-42E7-AFCB-A8E1FC320196}">
      <text>
        <t>[Threaded comment]
Your version of Excel allows you to read this threaded comment; however, any edits to it will get removed if the file is opened in a newer version of Excel. Learn more: https://go.microsoft.com/fwlink/?linkid=870924
Comment:
    AIF</t>
      </text>
    </comment>
    <comment ref="AB7" authorId="44" shapeId="0" xr:uid="{64C96A01-F527-4032-A373-8F396FAF511D}">
      <text>
        <t>[Threaded comment]
Your version of Excel allows you to read this threaded comment; however, any edits to it will get removed if the file is opened in a newer version of Excel. Learn more: https://go.microsoft.com/fwlink/?linkid=870924
Comment:
    AIF</t>
      </text>
    </comment>
    <comment ref="AC7" authorId="45" shapeId="0" xr:uid="{FC951008-5D2F-465D-8B56-07090BBD2CCD}">
      <text>
        <t>[Threaded comment]
Your version of Excel allows you to read this threaded comment; however, any edits to it will get removed if the file is opened in a newer version of Excel. Learn more: https://go.microsoft.com/fwlink/?linkid=870924
Comment:
    AIF</t>
      </text>
    </comment>
    <comment ref="M8" authorId="46" shapeId="0" xr:uid="{2424505B-FD82-4C6E-9EA5-D429B68D7043}">
      <text>
        <t xml:space="preserve">[Threaded comment]
Your version of Excel allows you to read this threaded comment; however, any edits to it will get removed if the file is opened in a newer version of Excel. Learn more: https://go.microsoft.com/fwlink/?linkid=870924
Comment:
     Capitalization of Stock of Properties
</t>
      </text>
    </comment>
    <comment ref="N8" authorId="47" shapeId="0" xr:uid="{0D7818F3-3C4B-4015-8D31-81684DE43D7A}">
      <text>
        <t>[Threaded comment]
Your version of Excel allows you to read this threaded comment; however, any edits to it will get removed if the file is opened in a newer version of Excel. Learn more: https://go.microsoft.com/fwlink/?linkid=870924
Comment:
    +0,908 Capitalization of Stock of Properties
-0,093 Romania SPVs FX</t>
      </text>
    </comment>
    <comment ref="O8" authorId="48" shapeId="0" xr:uid="{50BE2D81-1351-4433-A241-F0A90897DC9B}">
      <text>
        <t>[Threaded comment]
Your version of Excel allows you to read this threaded comment; however, any edits to it will get removed if the file is opened in a newer version of Excel. Learn more: https://go.microsoft.com/fwlink/?linkid=870924
Comment:
    +0,908 Capitalization of Stock of Properties
-0,093 Romania SPVs FX</t>
      </text>
    </comment>
    <comment ref="P8" authorId="49" shapeId="0" xr:uid="{B396135D-53E1-4A6D-A998-0FF75DE64463}">
      <text>
        <t>[Threaded comment]
Your version of Excel allows you to read this threaded comment; however, any edits to it will get removed if the file is opened in a newer version of Excel. Learn more: https://go.microsoft.com/fwlink/?linkid=870924
Comment:
    +0,610 Capitalization of Stock of Properties
-0,078 Romania SPVs FX</t>
      </text>
    </comment>
    <comment ref="Q8" authorId="50" shapeId="0" xr:uid="{28D0BD1E-4455-4487-8C2E-2F69D1759175}">
      <text>
        <t>[Threaded comment]
Your version of Excel allows you to read this threaded comment; however, any edits to it will get removed if the file is opened in a newer version of Excel. Learn more: https://go.microsoft.com/fwlink/?linkid=870924
Comment:
    +0,391 Capitalization of Stock of Properties
-0,80 Romania SPVs FX</t>
      </text>
    </comment>
    <comment ref="R8" authorId="51" shapeId="0" xr:uid="{39DB0A8D-5DA9-4231-B844-A7A85FFD5C9E}">
      <text>
        <t>[Threaded comment]
Your version of Excel allows you to read this threaded comment; however, any edits to it will get removed if the file is opened in a newer version of Excel. Learn more: https://go.microsoft.com/fwlink/?linkid=870924
Comment:
    +0,259 Capitalization of Stock of Properties
-0,147 Romania SPVs FX</t>
      </text>
    </comment>
    <comment ref="S8" authorId="52" shapeId="0" xr:uid="{D9CB0664-1E1E-4B02-B9E2-1881BB659369}">
      <text>
        <t>[Threaded comment]
Your version of Excel allows you to read this threaded comment; however, any edits to it will get removed if the file is opened in a newer version of Excel. Learn more: https://go.microsoft.com/fwlink/?linkid=870924
Comment:
    +0,155 Capitalization of Stock of Properties
+0,080 Capitalization of Investment Properties
-0,158 Romania SPVs FX</t>
      </text>
    </comment>
    <comment ref="T8" authorId="53" shapeId="0" xr:uid="{8C1307EC-17E6-47F6-A6FB-C3E64900C473}">
      <text>
        <t>[Threaded comment]
Your version of Excel allows you to read this threaded comment; however, any edits to it will get removed if the file is opened in a newer version of Excel. Learn more: https://go.microsoft.com/fwlink/?linkid=870924
Comment:
    +0,197 Capitalization of Stock of Properties
+0,080 Capitalization of Investment Properties
-0,108 Romania SPVs FX</t>
      </text>
    </comment>
    <comment ref="U8" authorId="54" shapeId="0" xr:uid="{90C49523-81ED-4A3A-9636-D2AC320490BB}">
      <text>
        <t>[Threaded comment]
Your version of Excel allows you to read this threaded comment; however, any edits to it will get removed if the file is opened in a newer version of Excel. Learn more: https://go.microsoft.com/fwlink/?linkid=870924
Comment:
    +0,080 Capitalization of Stock of Properties
+0,082 Capitalization of Investment Properties
-0,84 Romania SPVs FX</t>
      </text>
    </comment>
    <comment ref="X8" authorId="55" shapeId="0" xr:uid="{6932F31B-3CC9-4345-A5E5-99DE39B41887}">
      <text>
        <t>[Threaded comment]
Your version of Excel allows you to read this threaded comment; however, any edits to it will get removed if the file is opened in a newer version of Excel. Learn more: https://go.microsoft.com/fwlink/?linkid=870924
Comment:
    Disposal of Helix stock
73899  HELIX stock of property December 2018</t>
      </text>
    </comment>
    <comment ref="Y8" authorId="56" shapeId="0" xr:uid="{ECB6789B-33A5-433A-BA50-106630DCE20E}">
      <text>
        <t>[Threaded comment]
Your version of Excel allows you to read this threaded comment; however, any edits to it will get removed if the file is opened in a newer version of Excel. Learn more: https://go.microsoft.com/fwlink/?linkid=870924
Comment:
    98414 HELIX stock of property March 2019
73899  HELIX stock of property December 2018</t>
      </text>
    </comment>
    <comment ref="B9" authorId="57" shapeId="0" xr:uid="{A79C86C9-ADE5-4AF0-8B06-77CCCFB6B91B}">
      <text>
        <t>[Threaded comment]
Your version of Excel allows you to read this threaded comment; however, any edits to it will get removed if the file is opened in a newer version of Excel. Learn more: https://go.microsoft.com/fwlink/?linkid=870924
Comment:
    including A80120 and A80130
+1,270 CYP001 A80130
+0 CYP041 A80130
including: Laiki Small Units 1,477
excluding: GIC -1.030</t>
      </text>
    </comment>
    <comment ref="C9" authorId="58" shapeId="0" xr:uid="{4EBA0AE6-D5C1-44B9-8229-5571D62CCB53}">
      <text>
        <t>[Threaded comment]
Your version of Excel allows you to read this threaded comment; however, any edits to it will get removed if the file is opened in a newer version of Excel. Learn more: https://go.microsoft.com/fwlink/?linkid=870924
Comment:
    including A80120 and A80130
+1,423 CYP001 A80130
+0 CYP041 A80130
including: Laiki Small Units 1,477
excluding: GIC -1.066</t>
      </text>
    </comment>
    <comment ref="D9" authorId="59" shapeId="0" xr:uid="{7FCFB436-CA0A-4392-A540-ECD4090E4A4E}">
      <text>
        <t>[Threaded comment]
Your version of Excel allows you to read this threaded comment; however, any edits to it will get removed if the file is opened in a newer version of Excel. Learn more: https://go.microsoft.com/fwlink/?linkid=870924
Comment:
    including A80120 and A80130
+2,274 CYP001 A80130
+3,299 CYP041 A80130
including: Laiki Small Units 1,477
excluding: GIC -1.066</t>
      </text>
    </comment>
    <comment ref="E9" authorId="60" shapeId="0" xr:uid="{3B940FBA-1BAF-435B-A93F-CC823BFA2B44}">
      <text>
        <t>[Threaded comment]
Your version of Excel allows you to read this threaded comment; however, any edits to it will get removed if the file is opened in a newer version of Excel. Learn more: https://go.microsoft.com/fwlink/?linkid=870924
Comment:
    including A80120 and A80130
+1,052 CYP001 A80130
+3,384 CYP041 A80130
including: Laiki Small Units 1,477
excluding: GIC -1.243</t>
      </text>
    </comment>
    <comment ref="F9" authorId="61" shapeId="0" xr:uid="{C1BCFE0A-6812-4952-B1DB-184F563E24DA}">
      <text>
        <t>[Threaded comment]
Your version of Excel allows you to read this threaded comment; however, any edits to it will get removed if the file is opened in a newer version of Excel. Learn more: https://go.microsoft.com/fwlink/?linkid=870924
Comment:
    including A80120 and A80130
+1,618 CYP001 A80130
+3,796 CYP041 A80130
including: Laiki Small Units 1,477
excluding: GIC -1.243</t>
      </text>
    </comment>
    <comment ref="G9" authorId="62" shapeId="0" xr:uid="{D1207D5D-B7C2-4D2D-8D91-F87F60626F35}">
      <text>
        <t>[Threaded comment]
Your version of Excel allows you to read this threaded comment; however, any edits to it will get removed if the file is opened in a newer version of Excel. Learn more: https://go.microsoft.com/fwlink/?linkid=870924
Comment:
    including A80120 and A80130
+3,011 CYP001 A80130
+3,796 CYP041 A80130
including: Laiki Small Units 1,477
excluding: GIC -1.243</t>
      </text>
    </comment>
    <comment ref="H9" authorId="63" shapeId="0" xr:uid="{565E2578-E1AA-41EB-9757-92F303A0E766}">
      <text>
        <t>[Threaded comment]
Your version of Excel allows you to read this threaded comment; however, any edits to it will get removed if the file is opened in a newer version of Excel. Learn more: https://go.microsoft.com/fwlink/?linkid=870924
Comment:
    including 
+4,339 CYP001 A80130
+3,796 CYP041 A80130
Laiki Small Units 1,477
-1,243 GIC</t>
      </text>
    </comment>
    <comment ref="I9" authorId="64" shapeId="0" xr:uid="{DDDEC752-9289-4AEC-BAAB-A6EDBEDC0052}">
      <text>
        <t>[Threaded comment]
Your version of Excel allows you to read this threaded comment; however, any edits to it will get removed if the file is opened in a newer version of Excel. Learn more: https://go.microsoft.com/fwlink/?linkid=870924
Comment:
    including 
Laiki Small Units 1,477
-1,243 GIC</t>
      </text>
    </comment>
    <comment ref="J9" authorId="65" shapeId="0" xr:uid="{6F613829-54FD-4E0B-AA88-9AB609DC4FCB}">
      <text>
        <t>[Threaded comment]
Your version of Excel allows you to read this threaded comment; however, any edits to it will get removed if the file is opened in a newer version of Excel. Learn more: https://go.microsoft.com/fwlink/?linkid=870924
Comment:
    including 
Laiki Small Units 1,477
-1,243 GIC</t>
      </text>
    </comment>
    <comment ref="K9" authorId="66" shapeId="0" xr:uid="{C4694E78-8FD8-4E57-949B-C7451947F95E}">
      <text>
        <t xml:space="preserve">[Threaded comment]
Your version of Excel allows you to read this threaded comment; however, any edits to it will get removed if the file is opened in a newer version of Excel. Learn more: https://go.microsoft.com/fwlink/?linkid=870924
Comment:
    including 
Laiki Small Units 1,477
-1,186 GIC
</t>
      </text>
    </comment>
    <comment ref="L9" authorId="67" shapeId="0" xr:uid="{1663FBB2-EF99-4B66-9D5C-7281F444F923}">
      <text>
        <t>[Threaded comment]
Your version of Excel allows you to read this threaded comment; however, any edits to it will get removed if the file is opened in a newer version of Excel. Learn more: https://go.microsoft.com/fwlink/?linkid=870924
Comment:
    including 
Laiki Small Units 1,477
-1,186 GIC</t>
      </text>
    </comment>
    <comment ref="M9" authorId="68" shapeId="0" xr:uid="{825325EC-5387-441E-8FCF-2DE170B5774E}">
      <text>
        <t>[Threaded comment]
Your version of Excel allows you to read this threaded comment; however, any edits to it will get removed if the file is opened in a newer version of Excel. Learn more: https://go.microsoft.com/fwlink/?linkid=870924
Comment:
    including 
KPI 7,600
Laiki Small Units 1,477</t>
      </text>
    </comment>
    <comment ref="N9" authorId="69" shapeId="0" xr:uid="{CEE035D6-EAC7-48BE-A13D-B1FF55FD4E08}">
      <text>
        <t>[Threaded comment]
Your version of Excel allows you to read this threaded comment; however, any edits to it will get removed if the file is opened in a newer version of Excel. Learn more: https://go.microsoft.com/fwlink/?linkid=870924
Comment:
    including 
KPI 15,775
Laiki Small Units 1,477</t>
      </text>
    </comment>
    <comment ref="O9" authorId="70" shapeId="0" xr:uid="{779EAF29-365A-4EDC-8CB4-E2FB98C6CE81}">
      <text>
        <t>[Threaded comment]
Your version of Excel allows you to read this threaded comment; however, any edits to it will get removed if the file is opened in a newer version of Excel. Learn more: https://go.microsoft.com/fwlink/?linkid=870924
Comment:
    including 
KPI 15,775
Laiki Small Units 1,477</t>
      </text>
    </comment>
    <comment ref="P9" authorId="71" shapeId="0" xr:uid="{F89B743B-86E8-443B-A958-D6514B8661C2}">
      <text>
        <t>[Threaded comment]
Your version of Excel allows you to read this threaded comment; however, any edits to it will get removed if the file is opened in a newer version of Excel. Learn more: https://go.microsoft.com/fwlink/?linkid=870924
Comment:
    including 
KPI 15,775
Laiki Small Units 1,477</t>
      </text>
    </comment>
    <comment ref="X9" authorId="72" shapeId="0" xr:uid="{32D46ADD-32A8-4D6E-BC67-0A034A43C2D3}">
      <text>
        <t>[Threaded comment]
Your version of Excel allows you to read this threaded comment; however, any edits to it will get removed if the file is opened in a newer version of Excel. Learn more: https://go.microsoft.com/fwlink/?linkid=870924
Comment:
    1640425=1542011 (Stock of property)+98414 (HELIX Stock of Property)</t>
      </text>
    </comment>
    <comment ref="Y9" authorId="73" shapeId="0" xr:uid="{B590C835-BC65-4417-8494-C478062F9099}">
      <text>
        <t>[Threaded comment]
Your version of Excel allows you to read this threaded comment; however, any edits to it will get removed if the file is opened in a newer version of Excel. Learn more: https://go.microsoft.com/fwlink/?linkid=870924
Comment:
    1640425=1542011 (Stock of property)+98414 (HELIX Stock of Property)</t>
      </text>
    </comment>
    <comment ref="Z9" authorId="74" shapeId="0" xr:uid="{448AD738-A8F4-4B86-A96A-A735F45AE8FD}">
      <text>
        <t>[Threaded comment]
Your version of Excel allows you to read this threaded comment; however, any edits to it will get removed if the file is opened in a newer version of Excel. Learn more: https://go.microsoft.com/fwlink/?linkid=870924
Comment:
    1692309=1530388 (Stock of property)+73899 (HELIX Stock of Property)+88022
88022 relates to Nicosia Mall Stock of property 
see note 30 of FS</t>
      </text>
    </comment>
    <comment ref="AM10" authorId="75" shapeId="0" xr:uid="{2280DAE8-690E-4757-ACBF-897197B8DD0E}">
      <text>
        <t>[Threaded comment]
Your version of Excel allows you to read this threaded comment; however, any edits to it will get removed if the file is opened in a newer version of Excel. Learn more: https://go.microsoft.com/fwlink/?linkid=870924
Comment:
    Investment Properties 
26,866 A80120
9,385 A80130
minus
1,030 A80120 CYP004
5,825 A80130 CYP004
2,290 A80130 CYP005</t>
      </text>
    </comment>
    <comment ref="AN10" authorId="76" shapeId="0" xr:uid="{10991E38-0A2A-4279-B29E-64DAC4E20DC9}">
      <text>
        <t>[Threaded comment]
Your version of Excel allows you to read this threaded comment; however, any edits to it will get removed if the file is opened in a newer version of Excel. Learn more: https://go.microsoft.com/fwlink/?linkid=870924
Comment:
    Investment Properties 
41,508 A80120
14,106 A80130
minus
1,066 A80120 CYP004
6,243 A80130 CYP004
2,290 A80130 CYP005</t>
      </text>
    </comment>
    <comment ref="AO10" authorId="77" shapeId="0" xr:uid="{17B44FCA-96FA-4565-A538-ADE9A92E5B43}">
      <text>
        <t>[Threaded comment]
Your version of Excel allows you to read this threaded comment; however, any edits to it will get removed if the file is opened in a newer version of Excel. Learn more: https://go.microsoft.com/fwlink/?linkid=870924
Comment:
    Investment Properties 
41,508 A80120
14,106 A80130
minus
1,066 A80120 CYP004
6,243 A80130 CYP004
2,290 A80130 CYP005</t>
      </text>
    </comment>
    <comment ref="AP10" authorId="78" shapeId="0" xr:uid="{DA4E602B-4599-443A-9E2E-6B8DA663570F}">
      <text>
        <t>[Threaded comment]
Your version of Excel allows you to read this threaded comment; however, any edits to it will get removed if the file is opened in a newer version of Excel. Learn more: https://go.microsoft.com/fwlink/?linkid=870924
Comment:
    Investment Properties 48,158 A80120
13,947 A80130
minus
1,243 A80120 CYP004
6,243 A80130 CYP004
2,290 A80130 CYP005</t>
      </text>
    </comment>
    <comment ref="AQ10" authorId="79" shapeId="0" xr:uid="{1EC5CE94-EFB0-46D6-9A0F-F022F15317AF}">
      <text>
        <t>[Threaded comment]
Your version of Excel allows you to read this threaded comment; however, any edits to it will get removed if the file is opened in a newer version of Excel. Learn more: https://go.microsoft.com/fwlink/?linkid=870924
Comment:
    Investment Properties 48,158 A80120
13,947 A80130
minus
1,243 A80120 CYP004
6,243 A80130 CYP004
2,290 A80130 CYP005</t>
      </text>
    </comment>
    <comment ref="AR10" authorId="80" shapeId="0" xr:uid="{6BFAEE14-ACD5-41AD-A2BC-53AD604D835C}">
      <text>
        <t>[Threaded comment]
Your version of Excel allows you to read this threaded comment; however, any edits to it will get removed if the file is opened in a newer version of Excel. Learn more: https://go.microsoft.com/fwlink/?linkid=870924
Comment:
    Investment Properties 55,534 A80120
15,671 A80130
minus
1,243 A80120 CYP004
6,254 A80130 CYP004
2,610 A80130 CYP005</t>
      </text>
    </comment>
    <comment ref="AS10" authorId="81" shapeId="0" xr:uid="{5C133AAE-88A3-4D74-BADD-C770ADDE7FEA}">
      <text>
        <t>[Threaded comment]
Your version of Excel allows you to read this threaded comment; however, any edits to it will get removed if the file is opened in a newer version of Excel. Learn more: https://go.microsoft.com/fwlink/?linkid=870924
Comment:
    Investment Properties 57,340 A80120
16,999 A80130
minus
1,243 A80120 CYP004
6,254 A80130 CYP004
2,610 A80130 CYP005</t>
      </text>
    </comment>
    <comment ref="AT10" authorId="82" shapeId="0" xr:uid="{C97C0B8D-73B1-479B-8C3B-66FF1A78CAC0}">
      <text>
        <t>[Threaded comment]
Your version of Excel allows you to read this threaded comment; however, any edits to it will get removed if the file is opened in a newer version of Excel. Learn more: https://go.microsoft.com/fwlink/?linkid=870924
Comment:
    Investment Properties 66,527 A80120
16,533 A80130
minus
1,243 A80120 CYP004
6,254 A80130 CYP004
2,610 A80130 CYP005</t>
      </text>
    </comment>
    <comment ref="AU10" authorId="83" shapeId="0" xr:uid="{D64337B0-895A-44A6-9274-F3FC1433E660}">
      <text>
        <t>[Threaded comment]
Your version of Excel allows you to read this threaded comment; however, any edits to it will get removed if the file is opened in a newer version of Excel. Learn more: https://go.microsoft.com/fwlink/?linkid=870924
Comment:
    Investment Properties 76,235 A80120 minus
1,243 A80120 CYP004</t>
      </text>
    </comment>
    <comment ref="AV10" authorId="84" shapeId="0" xr:uid="{8BA2FA87-4CC0-4CE8-9C08-3C46D25F19D5}">
      <text>
        <t>[Threaded comment]
Your version of Excel allows you to read this threaded comment; however, any edits to it will get removed if the file is opened in a newer version of Excel. Learn more: https://go.microsoft.com/fwlink/?linkid=870924
Comment:
    Investment Properties 88,514 minus
87,935 HFS Stock of Properties 09/2022
9,227 A80130
1,186 A80120 CYP004</t>
      </text>
    </comment>
    <comment ref="AW10" authorId="85" shapeId="0" xr:uid="{57BBB889-EC4A-4040-A4C6-C007896D9C17}">
      <text>
        <t>[Threaded comment]
Your version of Excel allows you to read this threaded comment; however, any edits to it will get removed if the file is opened in a newer version of Excel. Learn more: https://go.microsoft.com/fwlink/?linkid=870924
Comment:
    Investment Properties 102,040 minus
90,083 HFS Stock of Properties 06/2022
9,231 A80130
1,186 A80120 CYP004</t>
      </text>
    </comment>
    <comment ref="AX10" authorId="86" shapeId="0" xr:uid="{F0CF1B4F-464A-4AD8-A2AA-D5476AFC281A}">
      <text>
        <t xml:space="preserve">[Threaded comment]
Your version of Excel allows you to read this threaded comment; however, any edits to it will get removed if the file is opened in a newer version of Excel. Learn more: https://go.microsoft.com/fwlink/?linkid=870924
Comment:
    Investment Properties 91,172 minus
94,394 HFS Stock of Properties 03/2022
</t>
      </text>
    </comment>
    <comment ref="AY10" authorId="87" shapeId="0" xr:uid="{F6AC3783-566A-4C15-93EC-1F7F137E6F1E}">
      <text>
        <t xml:space="preserve">[Threaded comment]
Your version of Excel allows you to read this threaded comment; however, any edits to it will get removed if the file is opened in a newer version of Excel. Learn more: https://go.microsoft.com/fwlink/?linkid=870924
Comment:
    Investment Properties 103,393 minus
98,172 HFS Stock of Properties 12/2021
</t>
      </text>
    </comment>
    <comment ref="AZ10" authorId="88" shapeId="0" xr:uid="{04AAA704-8410-453D-8315-1EB9A7E76A03}">
      <text>
        <t xml:space="preserve">[Threaded comment]
Your version of Excel allows you to read this threaded comment; however, any edits to it will get removed if the file is opened in a newer version of Excel. Learn more: https://go.microsoft.com/fwlink/?linkid=870924
Comment:
    Investment Properties 110,101 minus
100,976 HFS Stock of Properties 09/2021
</t>
      </text>
    </comment>
    <comment ref="BA10" authorId="89" shapeId="0" xr:uid="{56149233-8F93-4A40-AE43-BFE1FC9174A0}">
      <text>
        <t xml:space="preserve">[Threaded comment]
Your version of Excel allows you to read this threaded comment; however, any edits to it will get removed if the file is opened in a newer version of Excel. Learn more: https://go.microsoft.com/fwlink/?linkid=870924
Comment:
    Investment Properties 119,212 minus
</t>
      </text>
    </comment>
    <comment ref="BB10" authorId="90" shapeId="0" xr:uid="{C2417CB3-D145-4F20-ACFC-9C34274A97DC}">
      <text>
        <t>[Threaded comment]
Your version of Excel allows you to read this threaded comment; however, any edits to it will get removed if the file is opened in a newer version of Excel. Learn more: https://go.microsoft.com/fwlink/?linkid=870924
Comment:
    Investment Properties 105,070 minus
57,525+1,248 HFS Stock of Properties 12/2020
3,380+1,696 HFS Stock of Properties 03/2021</t>
      </text>
    </comment>
    <comment ref="BC10" authorId="91" shapeId="0" xr:uid="{0259F938-2CB9-492B-82FF-BCEE0C109C2E}">
      <text>
        <t>[Threaded comment]
Your version of Excel allows you to read this threaded comment; however, any edits to it will get removed if the file is opened in a newer version of Excel. Learn more: https://go.microsoft.com/fwlink/?linkid=870924
Comment:
    Investment Properties 107,121 minus
57,525+1,248 HFS Stock of Properties</t>
      </text>
    </comment>
    <comment ref="BD10" authorId="92" shapeId="0" xr:uid="{3E58394A-7770-43B8-A8C9-7DD776708194}">
      <text>
        <t>[Threaded comment]
Your version of Excel allows you to read this threaded comment; however, any edits to it will get removed if the file is opened in a newer version of Excel. Learn more: https://go.microsoft.com/fwlink/?linkid=870924
Comment:
    Investment Properties 109,072 minus
11,321 HFS Stock of Properties</t>
      </text>
    </comment>
    <comment ref="BE10" authorId="93" shapeId="0" xr:uid="{09CB27EA-9468-4CC6-BE18-59E60B2A8712}">
      <text>
        <t>[Threaded comment]
Your version of Excel allows you to read this threaded comment; however, any edits to it will get removed if the file is opened in a newer version of Excel. Learn more: https://go.microsoft.com/fwlink/?linkid=870924
Comment:
    Investment Properties 111,568 minus 10,651 HFS Stock of Properties</t>
      </text>
    </comment>
    <comment ref="BF10" authorId="94" shapeId="0" xr:uid="{D5AD18C1-6731-4EEA-8226-A7CB3EB75248}">
      <text>
        <t>[Threaded comment]
Your version of Excel allows you to read this threaded comment; however, any edits to it will get removed if the file is opened in a newer version of Excel. Learn more: https://go.microsoft.com/fwlink/?linkid=870924
Comment:
    Investment Properties</t>
      </text>
    </comment>
    <comment ref="BG10" authorId="95" shapeId="0" xr:uid="{AEE9378C-FA6A-482B-89B3-005B78FF500F}">
      <text>
        <t>[Threaded comment]
Your version of Excel allows you to read this threaded comment; however, any edits to it will get removed if the file is opened in a newer version of Excel. Learn more: https://go.microsoft.com/fwlink/?linkid=870924
Comment:
    Investment Properties</t>
      </text>
    </comment>
    <comment ref="BH10" authorId="96" shapeId="0" xr:uid="{35AC5EE0-802D-47F8-9248-1FD92E481093}">
      <text>
        <t>[Threaded comment]
Your version of Excel allows you to read this threaded comment; however, any edits to it will get removed if the file is opened in a newer version of Excel. Learn more: https://go.microsoft.com/fwlink/?linkid=870924
Comment:
    Investment Properties</t>
      </text>
    </comment>
  </commentList>
</comments>
</file>

<file path=xl/sharedStrings.xml><?xml version="1.0" encoding="utf-8"?>
<sst xmlns="http://schemas.openxmlformats.org/spreadsheetml/2006/main" count="1488" uniqueCount="582">
  <si>
    <t xml:space="preserve">Condensed Consolidated Income Statement </t>
  </si>
  <si>
    <t>Key ratios</t>
  </si>
  <si>
    <t>Ratings</t>
  </si>
  <si>
    <t>Condensed Consolidated Balance Sheet</t>
  </si>
  <si>
    <t>Earnings per share</t>
  </si>
  <si>
    <t xml:space="preserve">Customer deposits </t>
  </si>
  <si>
    <t>AS T03 (CySeg)</t>
  </si>
  <si>
    <t>Total Cyprus</t>
  </si>
  <si>
    <t xml:space="preserve">Consumer banking </t>
  </si>
  <si>
    <t xml:space="preserve">SME </t>
  </si>
  <si>
    <t xml:space="preserve">Corporate banking </t>
  </si>
  <si>
    <t>Wealth &amp; Brokerage &amp; Asset Management</t>
  </si>
  <si>
    <t xml:space="preserve">Resrtucturings and Recoveries Division </t>
  </si>
  <si>
    <t>Real Estate Management Unit (REMU)</t>
  </si>
  <si>
    <t xml:space="preserve">Insurance </t>
  </si>
  <si>
    <t xml:space="preserve">Other </t>
  </si>
  <si>
    <t>AS T04 (Gross Loans)</t>
  </si>
  <si>
    <t xml:space="preserve">Gross Loans by geography </t>
  </si>
  <si>
    <t xml:space="preserve">Gross Loans by business line </t>
  </si>
  <si>
    <t xml:space="preserve">Cost of Risk </t>
  </si>
  <si>
    <t>Bank of Cyprus Group - Asset Quality - 90+ DPD</t>
  </si>
  <si>
    <t xml:space="preserve">90+ DPD analysis </t>
  </si>
  <si>
    <t>90+ DPD Provision coverage (Cyprus operation)</t>
  </si>
  <si>
    <t>90+ DPD Tangible coverage (Cyprus operation)</t>
  </si>
  <si>
    <t>90+ DPD Total coverage (Cyprus operation)</t>
  </si>
  <si>
    <t xml:space="preserve">Asset Quality analysis </t>
  </si>
  <si>
    <t xml:space="preserve">NPEs analysis </t>
  </si>
  <si>
    <t xml:space="preserve">Balance sheet movement </t>
  </si>
  <si>
    <t>Asset stock split (Cyprus operations - carrying value)</t>
  </si>
  <si>
    <t>Risk weighted Assets by Geography</t>
  </si>
  <si>
    <t xml:space="preserve">Capital Position </t>
  </si>
  <si>
    <t>Disclaimer</t>
  </si>
  <si>
    <t xml:space="preserve">Disclaimer </t>
  </si>
  <si>
    <t>in EUR million</t>
  </si>
  <si>
    <t>Net interest income</t>
  </si>
  <si>
    <t>Net fee and commission income</t>
  </si>
  <si>
    <t>Other income</t>
  </si>
  <si>
    <t>Total income</t>
  </si>
  <si>
    <t>Staff costs</t>
  </si>
  <si>
    <t>Other operating expenses</t>
  </si>
  <si>
    <t>Total expenses</t>
  </si>
  <si>
    <t>Profit before provisions and impairments, gains/(losses) on  derecognition of loans and changes in expected cash flows, restructuring costs and discontinued operations</t>
  </si>
  <si>
    <t>Impairments of other financial and non-financial assets</t>
  </si>
  <si>
    <t>Share of profit from associates and joint ventures</t>
  </si>
  <si>
    <t>Profit/(loss) before tax, restructuring costs and discontinued operations</t>
  </si>
  <si>
    <t>Tax</t>
  </si>
  <si>
    <t>(Profit)/loss attributable to non-controlling interests</t>
  </si>
  <si>
    <t xml:space="preserve">Profit/(loss) after tax and before restructuring costs, discontinued operations and net gain on disposal of non-core assets </t>
  </si>
  <si>
    <t>Net Interest Margin (annualised)</t>
  </si>
  <si>
    <t>Cost to income ratio</t>
  </si>
  <si>
    <t>Mar 17</t>
  </si>
  <si>
    <t>Sept 16</t>
  </si>
  <si>
    <t>Jun 16</t>
  </si>
  <si>
    <t>Mar 16</t>
  </si>
  <si>
    <t>Dec 15</t>
  </si>
  <si>
    <t>Sept 15</t>
  </si>
  <si>
    <t>Jun 15</t>
  </si>
  <si>
    <t>Mar 15</t>
  </si>
  <si>
    <t xml:space="preserve">Fitch </t>
  </si>
  <si>
    <t>Long-term</t>
  </si>
  <si>
    <t>Short-term</t>
  </si>
  <si>
    <t>Viability Rating</t>
  </si>
  <si>
    <t>Outlook</t>
  </si>
  <si>
    <t>Moody´s</t>
  </si>
  <si>
    <t xml:space="preserve">Baseline Credit Assessment </t>
  </si>
  <si>
    <t>Counterparty Risk Assessment</t>
  </si>
  <si>
    <t>Cash and balances with central banks</t>
  </si>
  <si>
    <t xml:space="preserve">Loans and advances to banks </t>
  </si>
  <si>
    <t xml:space="preserve">Non-current assets and disposal group classified as held for sale </t>
  </si>
  <si>
    <t xml:space="preserve">Total assets </t>
  </si>
  <si>
    <t xml:space="preserve">Deposits by banks </t>
  </si>
  <si>
    <t>Funding from central banks</t>
  </si>
  <si>
    <t xml:space="preserve">Repurchase agreements </t>
  </si>
  <si>
    <t>Debt securities in issue</t>
  </si>
  <si>
    <t>-</t>
  </si>
  <si>
    <t>Other liabilities</t>
  </si>
  <si>
    <t>Total liabilities</t>
  </si>
  <si>
    <t>Non-controlling interests</t>
  </si>
  <si>
    <t>Total equity</t>
  </si>
  <si>
    <t>Total liabilities and equity</t>
  </si>
  <si>
    <t>Net Loans to Deposit ratio</t>
  </si>
  <si>
    <t>Targeted Long Term Refinancing Operations (TLTRO)</t>
  </si>
  <si>
    <t>NSFR ratio</t>
  </si>
  <si>
    <t>Customer deposits</t>
  </si>
  <si>
    <t xml:space="preserve">By type of deposit </t>
  </si>
  <si>
    <t>Demand</t>
  </si>
  <si>
    <t>Savings</t>
  </si>
  <si>
    <t>Time or notice</t>
  </si>
  <si>
    <t>United Kingdom</t>
  </si>
  <si>
    <t>AS T01 (Key financials-IS)</t>
  </si>
  <si>
    <t>AS T02 (Key financials-BS)</t>
  </si>
  <si>
    <t>Net fee &amp; commission income</t>
  </si>
  <si>
    <t xml:space="preserve">Profit/(loss) before provisions and impairments </t>
  </si>
  <si>
    <t>Impairment of other financial and non financial assets</t>
  </si>
  <si>
    <t>Provision for litigation and regulatory matters</t>
  </si>
  <si>
    <t>Share of profits from associates</t>
  </si>
  <si>
    <t>Profit/(loss) before tax</t>
  </si>
  <si>
    <t>Profit attributable to non controlling interest</t>
  </si>
  <si>
    <t>Profit/(loss) after tax and before one off items</t>
  </si>
  <si>
    <t>SME</t>
  </si>
  <si>
    <t xml:space="preserve">Restructuring and Recoveries Division </t>
  </si>
  <si>
    <t xml:space="preserve">Gross Loans Analysis </t>
  </si>
  <si>
    <t>Cyprus</t>
  </si>
  <si>
    <r>
      <t>Other</t>
    </r>
    <r>
      <rPr>
        <vertAlign val="superscript"/>
        <sz val="9"/>
        <rFont val="Arial"/>
        <family val="2"/>
        <charset val="161"/>
      </rPr>
      <t>1</t>
    </r>
  </si>
  <si>
    <t>Gross Advances</t>
  </si>
  <si>
    <t xml:space="preserve">Corporate </t>
  </si>
  <si>
    <t xml:space="preserve">Retail Housing </t>
  </si>
  <si>
    <t xml:space="preserve">Retail Other </t>
  </si>
  <si>
    <t xml:space="preserve">Total </t>
  </si>
  <si>
    <t>Total</t>
  </si>
  <si>
    <t xml:space="preserve">Cyprus </t>
  </si>
  <si>
    <t xml:space="preserve">Group </t>
  </si>
  <si>
    <t>Asset Quality - 90+ DPD</t>
  </si>
  <si>
    <r>
      <t>90+ DPD</t>
    </r>
    <r>
      <rPr>
        <b/>
        <vertAlign val="superscript"/>
        <sz val="9"/>
        <color theme="0"/>
        <rFont val="Arial"/>
        <family val="2"/>
        <charset val="161"/>
      </rPr>
      <t>1</t>
    </r>
    <r>
      <rPr>
        <b/>
        <sz val="9"/>
        <color theme="0"/>
        <rFont val="Arial"/>
        <family val="2"/>
        <charset val="161"/>
      </rPr>
      <t xml:space="preserve"> analysis </t>
    </r>
  </si>
  <si>
    <r>
      <t>Other</t>
    </r>
    <r>
      <rPr>
        <vertAlign val="superscript"/>
        <sz val="9"/>
        <rFont val="Arial"/>
        <family val="2"/>
        <charset val="161"/>
      </rPr>
      <t>2</t>
    </r>
  </si>
  <si>
    <t>Total 90+ DPD</t>
  </si>
  <si>
    <t xml:space="preserve">Total Cyprus 90+DPD Provision coverage </t>
  </si>
  <si>
    <t>Total Group 90+ DPD Provision coverage</t>
  </si>
  <si>
    <t>90+ DPD Tangible coverage (Cyprus operations)</t>
  </si>
  <si>
    <t xml:space="preserve">Total Cyprus 90+DPD Tangible coverage </t>
  </si>
  <si>
    <t xml:space="preserve">Total Cyprus 90+DPD Total coverage </t>
  </si>
  <si>
    <t>Asset Quality analysis</t>
  </si>
  <si>
    <t xml:space="preserve">Loans with arrears but not impaired </t>
  </si>
  <si>
    <t xml:space="preserve"> up to 30 days</t>
  </si>
  <si>
    <t xml:space="preserve"> 31 to 90 days</t>
  </si>
  <si>
    <t>91 to 180 days</t>
  </si>
  <si>
    <t>181 to 365 days</t>
  </si>
  <si>
    <t>over one year DPD</t>
  </si>
  <si>
    <t>Total loans with arrears but not impaired</t>
  </si>
  <si>
    <t xml:space="preserve">Impaired Loans </t>
  </si>
  <si>
    <t>loans with no arrears</t>
  </si>
  <si>
    <t>up to 30 days</t>
  </si>
  <si>
    <t>31 to 90 days</t>
  </si>
  <si>
    <t xml:space="preserve">Total Impaired </t>
  </si>
  <si>
    <t>Asset Quality - NPEs</t>
  </si>
  <si>
    <t>Total NPE</t>
  </si>
  <si>
    <t xml:space="preserve">Total Cyprus NPE Provision coverage </t>
  </si>
  <si>
    <t xml:space="preserve">Total Group NPE Provision coverage </t>
  </si>
  <si>
    <t>Bank of Cyprus - Real Estate Management Unit</t>
  </si>
  <si>
    <t>Additions</t>
  </si>
  <si>
    <t>Residential properties</t>
  </si>
  <si>
    <t>Offices and other commercial properties</t>
  </si>
  <si>
    <t>Manufacturing and industrial properties</t>
  </si>
  <si>
    <t>Hotels</t>
  </si>
  <si>
    <t>Land (fields and plots)</t>
  </si>
  <si>
    <t>Properties under construction</t>
  </si>
  <si>
    <t xml:space="preserve">Capital </t>
  </si>
  <si>
    <t xml:space="preserve">Risk Weighted Assets by Geography </t>
  </si>
  <si>
    <t>Romania</t>
  </si>
  <si>
    <t>Capital Position</t>
  </si>
  <si>
    <t>Regulatory capital</t>
  </si>
  <si>
    <t>Transitional Additional Tier 1 capital (AT1)</t>
  </si>
  <si>
    <t>Tier 2 capital (T2)</t>
  </si>
  <si>
    <t>Risk weighted assets – market risk</t>
  </si>
  <si>
    <t>Risk weighted assets – operational risk</t>
  </si>
  <si>
    <t>Casting</t>
  </si>
  <si>
    <t>B</t>
  </si>
  <si>
    <t xml:space="preserve">Not Prime </t>
  </si>
  <si>
    <t xml:space="preserve">Positive </t>
  </si>
  <si>
    <t>Balance sheet movement (YTD)</t>
  </si>
  <si>
    <t>Subordinated loan stock</t>
  </si>
  <si>
    <t xml:space="preserve">                                                                                                                                                                                                                                                                                                                                                                                                                                                                                                                                                                                                                                                                                                                                                                                                                                                                                                                                                           </t>
  </si>
  <si>
    <t>Bank of Cyprus Holdings Public Limited Company Analyst Sheet</t>
  </si>
  <si>
    <t>Net foreign exchange gains/(losses) and net gains/(losses) on other financial instruments</t>
  </si>
  <si>
    <t>Net gains/(losses) from revaluation and disposal of investment properties and on disposal of stock of properties</t>
  </si>
  <si>
    <t>Cost to income ratio excluding special levy on banks and the SRF contribution</t>
  </si>
  <si>
    <r>
      <rPr>
        <b/>
        <vertAlign val="superscript"/>
        <sz val="9"/>
        <rFont val="Arial"/>
        <family val="2"/>
        <charset val="161"/>
      </rPr>
      <t>1</t>
    </r>
    <r>
      <rPr>
        <b/>
        <sz val="9"/>
        <rFont val="Arial"/>
        <family val="2"/>
        <charset val="161"/>
      </rPr>
      <t xml:space="preserve"> File optimised for data processing, not printing. If entire columns contain zero values or </t>
    </r>
  </si>
  <si>
    <t>, data is not available.</t>
  </si>
  <si>
    <t>Cost of risk including impairments of other financial instruments</t>
  </si>
  <si>
    <t>[3] Includes Credit Valuation Adjustments (CVA).</t>
  </si>
  <si>
    <t>By currency</t>
  </si>
  <si>
    <t>Euro</t>
  </si>
  <si>
    <t>British pound</t>
  </si>
  <si>
    <t>US Dollar</t>
  </si>
  <si>
    <t>Other Currencies</t>
  </si>
  <si>
    <r>
      <t>90+ DPD</t>
    </r>
    <r>
      <rPr>
        <b/>
        <sz val="9"/>
        <color rgb="FF000000"/>
        <rFont val="Arial"/>
        <family val="2"/>
        <charset val="161"/>
      </rPr>
      <t xml:space="preserve"> ratio</t>
    </r>
  </si>
  <si>
    <t>Jan-Jun 2017</t>
  </si>
  <si>
    <t>Jan-Mar 2017</t>
  </si>
  <si>
    <t>Jan-Dec 2016</t>
  </si>
  <si>
    <t>Jan-Sept 2016</t>
  </si>
  <si>
    <t>Jan-Jun 2016</t>
  </si>
  <si>
    <t>Jan-Mar 2016</t>
  </si>
  <si>
    <t>Russia</t>
  </si>
  <si>
    <t>Interest Income</t>
  </si>
  <si>
    <t>Interest Expense</t>
  </si>
  <si>
    <t>90+ DPD Provision coverage (Cyprus operations)</t>
  </si>
  <si>
    <t>90+ DPD Total coverage (Cyprus operations)</t>
  </si>
  <si>
    <t>Profit/(loss) after tax attributable to shareholders</t>
  </si>
  <si>
    <t>Jan-Sep 2017</t>
  </si>
  <si>
    <t>Loans and advances to customers</t>
  </si>
  <si>
    <t xml:space="preserve">Trading investments </t>
  </si>
  <si>
    <t>Derivative financial instruments</t>
  </si>
  <si>
    <t>Other investments at fair value through profit or loss</t>
  </si>
  <si>
    <t xml:space="preserve">Funding from central banks and deposits by banks </t>
  </si>
  <si>
    <t>Analysis of interest income</t>
  </si>
  <si>
    <t>Analysis of interest expense</t>
  </si>
  <si>
    <r>
      <t xml:space="preserve"> (rolling 3 years quarterly data to actual quarter</t>
    </r>
    <r>
      <rPr>
        <b/>
        <vertAlign val="superscript"/>
        <sz val="14"/>
        <color theme="0"/>
        <rFont val="Arial"/>
        <family val="2"/>
        <charset val="161"/>
      </rPr>
      <t>1</t>
    </r>
    <r>
      <rPr>
        <b/>
        <sz val="14"/>
        <color theme="0"/>
        <rFont val="Arial"/>
        <family val="2"/>
        <charset val="161"/>
      </rPr>
      <t>)</t>
    </r>
  </si>
  <si>
    <t>Asset Quality - Rescheduled</t>
  </si>
  <si>
    <t>Group</t>
  </si>
  <si>
    <t>S&amp;P</t>
  </si>
  <si>
    <t>Long-term Issuer</t>
  </si>
  <si>
    <t>Short-term Issuer</t>
  </si>
  <si>
    <t>Positive</t>
  </si>
  <si>
    <t>Dec 17 vs Sep 17 (qoq%)</t>
  </si>
  <si>
    <t>Dec 17 vs Dec 16 (yoy%)</t>
  </si>
  <si>
    <t>Jan-Dec 2017</t>
  </si>
  <si>
    <t>Negative interest on loans and advances to banks and central banks</t>
  </si>
  <si>
    <t>Jan-Mar 2018</t>
  </si>
  <si>
    <t>NPE ratios by economic activity</t>
  </si>
  <si>
    <t>Trade</t>
  </si>
  <si>
    <t>Manufacturing</t>
  </si>
  <si>
    <t>Construction</t>
  </si>
  <si>
    <t>Private Individuals</t>
  </si>
  <si>
    <t>Real Estate</t>
  </si>
  <si>
    <t>Professional &amp; Other services</t>
  </si>
  <si>
    <t>Other Sectors</t>
  </si>
  <si>
    <t>NPE ratios by business line</t>
  </si>
  <si>
    <t>SMEs</t>
  </si>
  <si>
    <t>Housing</t>
  </si>
  <si>
    <t>Consumer Credit</t>
  </si>
  <si>
    <t>RRD-Recoveries Corporate</t>
  </si>
  <si>
    <t>RRD Recoveries SMEs&amp;Retail</t>
  </si>
  <si>
    <t>Asset Quality - NPE analysis</t>
  </si>
  <si>
    <t>1-30 DPD</t>
  </si>
  <si>
    <t>31-90 DPD</t>
  </si>
  <si>
    <t>With no arrears</t>
  </si>
  <si>
    <t>Up to 30 DPD</t>
  </si>
  <si>
    <t>91-180 DPD</t>
  </si>
  <si>
    <t>181-365 DPD</t>
  </si>
  <si>
    <t>Over 1 year DPD</t>
  </si>
  <si>
    <t xml:space="preserve">NPE ratio (NPEs / Gross Loans) </t>
  </si>
  <si>
    <t>Gross loans provision coverage</t>
  </si>
  <si>
    <t>NPEs provision coverage</t>
  </si>
  <si>
    <t>Stage 1</t>
  </si>
  <si>
    <t>Stage 3</t>
  </si>
  <si>
    <t>POCI</t>
  </si>
  <si>
    <t>Stage 2</t>
  </si>
  <si>
    <t>FVPL</t>
  </si>
  <si>
    <t>Investments FVOCI</t>
  </si>
  <si>
    <t>AS T05 (AQ - 90+ DPD)</t>
  </si>
  <si>
    <t>AS T06 (AQ - NPEs)</t>
  </si>
  <si>
    <t>AS T07 (AQ - Rescheduled)</t>
  </si>
  <si>
    <t>AS T08 (REMU)</t>
  </si>
  <si>
    <t>AS T09 (Capital)</t>
  </si>
  <si>
    <t>Jan-Jun 2018</t>
  </si>
  <si>
    <t xml:space="preserve">As of 1 January 2018 and following IFRS 9 implementation, the Bank’s disclosure in relation to the loan portfolio quality is based on Non Performing Exposures (NPEs), in line with the EBA standards and ECB NPEs Guidance to the banks. Exposures that meet the NPE definition are considered to be in default and hence credit-impaired and are classified in Stage 3 under IFRS 9 staging classification. Such loans are also considered to be in default for credit risk management purposes.
</t>
  </si>
  <si>
    <t>Treasury</t>
  </si>
  <si>
    <r>
      <t>Total</t>
    </r>
    <r>
      <rPr>
        <b/>
        <vertAlign val="superscript"/>
        <sz val="9"/>
        <rFont val="Arial"/>
        <family val="2"/>
        <charset val="161"/>
      </rPr>
      <t>2</t>
    </r>
  </si>
  <si>
    <t>Jan-Sep 2018</t>
  </si>
  <si>
    <t>B+</t>
  </si>
  <si>
    <t>Stable</t>
  </si>
  <si>
    <t>Jan-Dec 2018</t>
  </si>
  <si>
    <t>Jan-Mar 2019</t>
  </si>
  <si>
    <t>Jan-June 2019</t>
  </si>
  <si>
    <t>Jan-Sept 2019</t>
  </si>
  <si>
    <t>Jan-Dec 2019</t>
  </si>
  <si>
    <t>Jan-March 2020</t>
  </si>
  <si>
    <t>Jan-June 2020</t>
  </si>
  <si>
    <t>Jan-Sept 2020</t>
  </si>
  <si>
    <t>Jan-Dec 2020</t>
  </si>
  <si>
    <t>Jan-March 2021</t>
  </si>
  <si>
    <t>Jan-June 2021</t>
  </si>
  <si>
    <t>Jan-Sept 2021</t>
  </si>
  <si>
    <t>Jan-Dec 2021</t>
  </si>
  <si>
    <t>Jan-Mar 2022</t>
  </si>
  <si>
    <t>Jan-June 2022</t>
  </si>
  <si>
    <t>Jan-Sept 2022</t>
  </si>
  <si>
    <t>BB-</t>
  </si>
  <si>
    <t>b1</t>
  </si>
  <si>
    <t>Ba2</t>
  </si>
  <si>
    <t xml:space="preserve">Ba1 (cr)/Not Prime (cr) </t>
  </si>
  <si>
    <t>Jan-Dec 2022</t>
  </si>
  <si>
    <t>b+</t>
  </si>
  <si>
    <t>1Q2023</t>
  </si>
  <si>
    <t>03M2023</t>
  </si>
  <si>
    <t>Jan-Mar 2023</t>
  </si>
  <si>
    <t>Investments and other financial assets at amortised cost</t>
  </si>
  <si>
    <t>[4] Risk weighted assets over Total Assets.</t>
  </si>
  <si>
    <t>2Q2023</t>
  </si>
  <si>
    <t>06M2023</t>
  </si>
  <si>
    <t>Jan-Jun 2023</t>
  </si>
  <si>
    <t>ba3</t>
  </si>
  <si>
    <t xml:space="preserve">Ba1 </t>
  </si>
  <si>
    <t xml:space="preserve">Baa3 (cr)/P-3 (cr) </t>
  </si>
  <si>
    <t>Special levy on deposits and other levies/contributions</t>
  </si>
  <si>
    <t>3Q2023</t>
  </si>
  <si>
    <t>09M2023</t>
  </si>
  <si>
    <t>Jan-Sep 2023</t>
  </si>
  <si>
    <t>Shareholders’ equity</t>
  </si>
  <si>
    <t>ba2</t>
  </si>
  <si>
    <t xml:space="preserve">Baa3    </t>
  </si>
  <si>
    <t>P-3</t>
  </si>
  <si>
    <t xml:space="preserve">Baa2 (cr)/P-2 (cr) </t>
  </si>
  <si>
    <t>Fee and Commission income to Total income</t>
  </si>
  <si>
    <t xml:space="preserve">Operating profit return on average assets (annualised) </t>
  </si>
  <si>
    <t>90+ DPD</t>
  </si>
  <si>
    <t>90+ DPD coverage ratio</t>
  </si>
  <si>
    <r>
      <t xml:space="preserve">International Corporate </t>
    </r>
    <r>
      <rPr>
        <vertAlign val="superscript"/>
        <sz val="9"/>
        <color theme="1"/>
        <rFont val="Arial"/>
        <family val="2"/>
        <charset val="161"/>
      </rPr>
      <t>3</t>
    </r>
  </si>
  <si>
    <t>[1] Other countries: Russia and Romania.</t>
  </si>
  <si>
    <t>Stock as at 1 January</t>
  </si>
  <si>
    <t>Sales</t>
  </si>
  <si>
    <t xml:space="preserve">Transfer to/from own properties </t>
  </si>
  <si>
    <t>Impairment loss, FX and other movements</t>
  </si>
  <si>
    <r>
      <t xml:space="preserve">Risk weighted assets – credit risk </t>
    </r>
    <r>
      <rPr>
        <vertAlign val="superscript"/>
        <sz val="9"/>
        <color theme="1"/>
        <rFont val="Arial"/>
        <family val="2"/>
        <charset val="161"/>
      </rPr>
      <t>3</t>
    </r>
  </si>
  <si>
    <r>
      <t xml:space="preserve">RWA Intensity </t>
    </r>
    <r>
      <rPr>
        <b/>
        <vertAlign val="superscript"/>
        <sz val="9"/>
        <color theme="1"/>
        <rFont val="Arial"/>
        <family val="2"/>
        <charset val="161"/>
      </rPr>
      <t>4</t>
    </r>
    <r>
      <rPr>
        <b/>
        <sz val="9"/>
        <color theme="1"/>
        <rFont val="Arial"/>
        <family val="2"/>
        <charset val="161"/>
      </rPr>
      <t xml:space="preserve"> (%)</t>
    </r>
  </si>
  <si>
    <r>
      <t xml:space="preserve">Stock at the end of period </t>
    </r>
    <r>
      <rPr>
        <b/>
        <vertAlign val="superscript"/>
        <sz val="9"/>
        <rFont val="Arial"/>
        <family val="2"/>
        <charset val="161"/>
      </rPr>
      <t>1,</t>
    </r>
    <r>
      <rPr>
        <b/>
        <sz val="9"/>
        <rFont val="Arial"/>
        <family val="2"/>
        <charset val="161"/>
      </rPr>
      <t xml:space="preserve"> </t>
    </r>
    <r>
      <rPr>
        <b/>
        <vertAlign val="superscript"/>
        <sz val="9"/>
        <rFont val="Arial"/>
        <family val="2"/>
        <charset val="161"/>
      </rPr>
      <t>2</t>
    </r>
  </si>
  <si>
    <t>Investment properties</t>
  </si>
  <si>
    <t xml:space="preserve">Loans and advances to banks and central banks </t>
  </si>
  <si>
    <t>[1] Total Stock excludes investment properties and stock of property classified as held for sale with carrying value of €88m as at 30 September 2022 (€90m as at 30 June 2022, €94m as at 31 March 2022).</t>
  </si>
  <si>
    <t>[1] Non performing exposures as per EBA definition.</t>
  </si>
  <si>
    <t>[2] Other countries:  Russia and Romania.</t>
  </si>
  <si>
    <t>Transitional total regulatory capital</t>
  </si>
  <si>
    <r>
      <t xml:space="preserve">Transitional Common Equity Tier 1 (CET1) </t>
    </r>
    <r>
      <rPr>
        <vertAlign val="superscript"/>
        <sz val="9"/>
        <rFont val="Arial"/>
        <family val="2"/>
        <charset val="161"/>
      </rPr>
      <t>2</t>
    </r>
  </si>
  <si>
    <t>4Q2023</t>
  </si>
  <si>
    <t>12M2023</t>
  </si>
  <si>
    <t>Jan-Dec 2023</t>
  </si>
  <si>
    <t>Reverse repurchase agreements</t>
  </si>
  <si>
    <t>Repurchase agreements</t>
  </si>
  <si>
    <t>BB</t>
  </si>
  <si>
    <t>bb</t>
  </si>
  <si>
    <t>1Q2024</t>
  </si>
  <si>
    <t>03M2024</t>
  </si>
  <si>
    <t xml:space="preserve">Mar-24 </t>
  </si>
  <si>
    <t>Jan-Mar 2024</t>
  </si>
  <si>
    <t>Debt securities in issue and Subordinated loan stock</t>
  </si>
  <si>
    <t>Real Estate Management Unit (REMU) - REPOSSESSED PROPERTIES</t>
  </si>
  <si>
    <t>Real Estate Management Unit (REMU) - REPOSSESSED AND NON-REPOSSESSED</t>
  </si>
  <si>
    <t>2Q2024</t>
  </si>
  <si>
    <t>06M2024</t>
  </si>
  <si>
    <t xml:space="preserve">Jun-24 </t>
  </si>
  <si>
    <t>Jan-Jun 2024</t>
  </si>
  <si>
    <t>BB+</t>
  </si>
  <si>
    <t xml:space="preserve">Loan credit losses </t>
  </si>
  <si>
    <r>
      <t xml:space="preserve">Leverage Ratio Exposure </t>
    </r>
    <r>
      <rPr>
        <b/>
        <vertAlign val="superscript"/>
        <sz val="9"/>
        <color theme="1"/>
        <rFont val="Arial"/>
        <family val="2"/>
        <charset val="161"/>
      </rPr>
      <t>5</t>
    </r>
  </si>
  <si>
    <t>[5] Leverage Ratio Exposure = Leverage Ratio Exposure (LRE) is defined in accordance with the Capital Requirements Regulation (EU) No 575/2013, as amended.</t>
  </si>
  <si>
    <t>3Q2024</t>
  </si>
  <si>
    <t>09M2024</t>
  </si>
  <si>
    <t xml:space="preserve">Sep-24 </t>
  </si>
  <si>
    <t>bb+</t>
  </si>
  <si>
    <t>ba1</t>
  </si>
  <si>
    <t>Baa1</t>
  </si>
  <si>
    <t>P-2</t>
  </si>
  <si>
    <t xml:space="preserve">Baa1 (cr)/P-2 (cr) </t>
  </si>
  <si>
    <t>Jan-Sep 2024</t>
  </si>
  <si>
    <t xml:space="preserve">Other assets </t>
  </si>
  <si>
    <t xml:space="preserve">Total NPE Tangible coverage </t>
  </si>
  <si>
    <t xml:space="preserve">Total NPE Total coverage </t>
  </si>
  <si>
    <r>
      <t xml:space="preserve">NPEs analysis </t>
    </r>
    <r>
      <rPr>
        <b/>
        <vertAlign val="superscript"/>
        <sz val="9"/>
        <color theme="0"/>
        <rFont val="Arial"/>
        <family val="2"/>
        <charset val="161"/>
      </rPr>
      <t>1</t>
    </r>
  </si>
  <si>
    <t xml:space="preserve">NPE Provision coverage </t>
  </si>
  <si>
    <t xml:space="preserve">NPE Tangible coverage </t>
  </si>
  <si>
    <t xml:space="preserve">NPE Total coverage </t>
  </si>
  <si>
    <t xml:space="preserve">NPE ratios by business line </t>
  </si>
  <si>
    <t xml:space="preserve">Asset Quality - NPE analysis </t>
  </si>
  <si>
    <t>[1] 90+ DPD are loans in arrears for more than 90 days (90+ DPD) and are defined as loans past-due for more than 90 days and those that are impaired (impaired loans are those which are not considered fully collectible and for which a provision for impairment has been recognised on an individual basis or for which incurred losses exist at their initial recognition or customers are in Debt Recovery).</t>
  </si>
  <si>
    <t xml:space="preserve">[2] Includes properties with carrying value of €41 mn as at 30 September 2024 (€46 mn as at 30 June 2024, €53 mn as at 31 March 2024, €52 mn as at 31 December 2023, €61 mn as at 30 September 2023, €65 mn as at 30 June 2023, €73 mn as at 31 March 2023, €75 mn as at 31 December 2022) which are classified as 'Investment properties' and are managed by REMU. </t>
  </si>
  <si>
    <t>Greece</t>
  </si>
  <si>
    <t>United States</t>
  </si>
  <si>
    <t>Germany</t>
  </si>
  <si>
    <t>Ukraine</t>
  </si>
  <si>
    <t>Belarus</t>
  </si>
  <si>
    <t>Israel</t>
  </si>
  <si>
    <t>Other countries</t>
  </si>
  <si>
    <r>
      <t xml:space="preserve">Corporate </t>
    </r>
    <r>
      <rPr>
        <vertAlign val="superscript"/>
        <sz val="9"/>
        <color theme="1"/>
        <rFont val="Arial"/>
        <family val="2"/>
        <charset val="161"/>
      </rPr>
      <t>3</t>
    </r>
  </si>
  <si>
    <t xml:space="preserve">International business unit (IBU) </t>
  </si>
  <si>
    <t>4Q2024</t>
  </si>
  <si>
    <t>12M2024</t>
  </si>
  <si>
    <t>Jan-Dec 2024</t>
  </si>
  <si>
    <t>BBB-</t>
  </si>
  <si>
    <t>A-3</t>
  </si>
  <si>
    <t>Asset stock split (Greek operations - carrying value)</t>
  </si>
  <si>
    <t>1Q2025</t>
  </si>
  <si>
    <t>03M2025</t>
  </si>
  <si>
    <t>Jan-Mar 2025</t>
  </si>
  <si>
    <t>baa3</t>
  </si>
  <si>
    <t xml:space="preserve">A3 (cr)/P-2 (cr) </t>
  </si>
  <si>
    <t>A3</t>
  </si>
  <si>
    <t>F3</t>
  </si>
  <si>
    <t>bbb-</t>
  </si>
  <si>
    <t>n/a</t>
  </si>
  <si>
    <t>Accumulated provisions (per underline basis)</t>
  </si>
  <si>
    <t>Transfer to/from own properties and other transfers</t>
  </si>
  <si>
    <t>Summary:</t>
  </si>
  <si>
    <t>The Financial Spreadsheet is a publicly available excel spreadsheet which accompanies the Investor Relations presentation and press release, which are released every quarter. The Financial Spreadsheet contains key financial information on the Group’s income statement and balance sheet, as well as any other information that facilitates the work of investors and analysts. Apart from current quarter/YTD figures, the Financial Spreadsheet also contains historical information on the relevant metrics.</t>
  </si>
  <si>
    <t>Detailed procedures:</t>
  </si>
  <si>
    <t>  </t>
  </si>
  <si>
    <t>The excel file name is “LOCKED Bank of Cyprus Financial Spreadsheet to IR MMYYYY.xlsx” (where YYYY marks the year and MM marks the month the spreadsheet relates to).</t>
  </si>
  <si>
    <t>All historic figures (including the latest available figures) need to remain locked.</t>
  </si>
  <si>
    <t>Latest available figures need to be converted to values and remain locked.</t>
  </si>
  <si>
    <t>All full numbers need to be in millions and three decimal places.</t>
  </si>
  <si>
    <t xml:space="preserve">A new column on the left-hand side needs to be added for the new numbers to be included. </t>
  </si>
  <si>
    <t>T01 IS and key ratios – All numbers are taken directly from the MIS board pack. Board pack can be found in G:\ACCOUNTS\GRMISXXXX (where XXXX marks the most recent quarter). All numbers need to be updated either by updating the links to the respective Board Pack or by manually inputting numbers.</t>
  </si>
  <si>
    <t>Analysis of interest income, Analysis of interest expense, key ratios are linked with formulas where can drive you to the files. The files can be found in G:\ACCOUNTS\ResultYYYY-MM\Credit Risk Note MM YYYY\Sent to IR MM-YYYY\NIM (where YYYY marks the year and MM marks the month the spreadsheet relates to).</t>
  </si>
  <si>
    <t>Ratings should be left blank by Financial Control, A&amp;R unit, and filled in by Investor Relations.</t>
  </si>
  <si>
    <t>T02 BS and key ratios – All numbers are taken directly from the MIS board pack. Board pack can be found in G:\ACCOUNTS\GRMISXXXX (where XXXX marks the most recent quarter). All numbers need to be updated either by updating the links to the respective Board Pack or by manually inputting numbers.</t>
  </si>
  <si>
    <t>Earnings per share - Numbers can be found in G:\ACCOUNTS\ResultYYYY-MM\Group notes\EPS (where YYYY marks the year and MM marks the month the spreadsheet relates to) and the file called “EPSYYYY.MM.xlsx” (where YYYY marks the year and MM marks the month the spreadsheet relates to). Numbers can be found in the summary EPS tab.</t>
  </si>
  <si>
    <t>Customer deposits – Figures can be obtained from BFC and are found in the report CA2213. The split between Cyprus IBU and Cyprus non IBU can be found in G:\ACCOUNTS\GRMISXXXX (where XXXX marks the most recent quarter) in the file “ADVAN&amp;DEPOS XXXX.xls” (where XXXX marks the most recent quarter).</t>
  </si>
  <si>
    <t xml:space="preserve">T03 IS split by business segment – All numbers are taken directly from the MIS board pack. Board pack can be found in G:\ACCOUNTS\GRMISXXXX (where XXXX marks the most recent quarter). All numbers for each business segment can be found in  G:\ACCOUNTS\ResultYYYY-MM\Credit Risk Note MM YYYY\Sent to IR MM-YYYY \Board Pack XXXX SEGMENTAL (from Socrates File) slide 65.xls (where YYYY marks the year, MM marks for the month and XXXX marks the most recent quarter) need to be updated either by updating the links to the respective Board Pack or the relatively files or by manually inputting numbers.• </t>
  </si>
  <si>
    <t>Cost of Risk figures can be obtained from G:\ACCOUNTS\GRMISXXXX (where XXXX marks the most recent quarter) and the file “Cost of Risk XXXX.xls” (where XXXX marks the most recent quarter). All numbers need to be updated either by updating the links to the respective Board Pack or by manually inputting numbers.</t>
  </si>
  <si>
    <t>T05 90+ DPD analysis – figures can be found in G:\ACCOUNTS\Result YYYY-MM\Credit Risk Note MM YYYY (where MM marks the month and YYYY marks the year) in file Loans 90+ dpd by customer sector dd-mm-yyyy GROUP.xls (where dd marks the end of quarter day, mm marks the month and yyyy marks the year). All numbers need to be updated either by updating the links to the respective Board Pack or by manually inputting numbers. As of 1 January 2018, and following IFRS9 implementation, 90+DPD is no longer reported.</t>
  </si>
  <si>
    <t>T06 NPE analysis – figures can be found in G:\ACCOUNTS\ResultYYYY-MM\Credit Risk Note MM YYYY (where MM marks the month and YYYY marks the year) in file NPLs by customer sector dd-mm-yyyy GROUP.xls (where dd marks the end of quarter day, mm marks the month and yyyy marks the year). All numbers need to be updated either by updating the links to the respective Board Pack or by manually inputting numbers.</t>
  </si>
  <si>
    <t>Asset stock split – Figures can be found in G:\ACCOUNTS\RESULTS YYYY MM\Credit Risk Note MM YYYY\REMU\REMU Movement (BFC) MM YYYY.xlsx (where YYYY marks the year and MM marks the month).</t>
  </si>
  <si>
    <t>T09 Capital – Risk Weighted Assets by Geography – Numbers are provided by the Capital Risk Management Team in Risk Analytics &amp; Capital Risk. Numbers need to be asked each quarter and need to be manually inputted and updated.</t>
  </si>
  <si>
    <t>Capital Position – All numbers are provided by the Capital Management Team of Financial Control (0211).</t>
  </si>
  <si>
    <t xml:space="preserve">RWA Intensity – This number is calculated using the total Risk Weighted Assets (provided above) divided by Total Assets (found in the BS tab). </t>
  </si>
  <si>
    <t>Definitions tab needs to be updated with the latest available definitions included in the IR press release.</t>
  </si>
  <si>
    <t xml:space="preserve">Once the spreadsheet is fully updated and completed a final version needs to be saved separately. File needs to be saved without a password and all figures need to be converted in values. All controls need to be deleted. Printing margins must be adjusted accordingly. Once completed the file must be sent to IR for publication. </t>
  </si>
  <si>
    <t>Frequency:</t>
  </si>
  <si>
    <t>Quarterly</t>
  </si>
  <si>
    <t>Prepared by/Reviewed by:</t>
  </si>
  <si>
    <t>Prepared by the Reporting Officer and reviewed by the Head Accounting &amp; Reporting.</t>
  </si>
  <si>
    <t>Purpose:</t>
  </si>
  <si>
    <t>To be published by Investor Relations on the Group’s website to facilitate the work of investors and analysts when assessing Group results and prospects.</t>
  </si>
  <si>
    <t>The excel spreadsheet can be found in G:\ACCOUNTS\ResultYYYY-MM\FINANCIAL SPREADSHEET (where YYYY marks the year and MM marks the month the spreadsheet relates to).</t>
  </si>
  <si>
    <t>●</t>
  </si>
  <si>
    <t>Funding from central banks – Information is provided by BOC middle office. If needed request to be added to the mailing list. Figures are also included in the financial statements and as such they need to be double checked and agreed.</t>
  </si>
  <si>
    <t>LCR ratio and NSFR ratio – Information is provided by BOC market risk. If needed request to be added to the mailing list. Ratios are also included in the presentation of IR and as such the need to be double checked and agreed.</t>
  </si>
  <si>
    <t>File needs to be reviewed by the Manager and Head of A&amp;R unit before sending the final version to IR.</t>
  </si>
  <si>
    <t>Coverage (both tangible and provision coverage) figures can be found in G:\ACCOUNTS\ResultYYYY-MM\Credit Risk Stephanos\IR slides (where mm marks the month and YYYY marks the year) in file Credit Risk by customer type version 4 –IR slide MMYYY.xlsx (where mm marks the month and YYYY marks the year). As of 1 January 2018, and following IFRS9 implementation, 90+DPD is no longer reported.</t>
  </si>
  <si>
    <t>Asset Quality analysis can be found in G:\ACCOUNTS\ResultYYYY-MM\Credit Risk Stephanos\Credit Quality (where mm marks the month and YYYY marks the year) in spreadsheet credit quality MMYYYY.xlsx (where mm marks the month and YYYY marks the year). All numbers need to be updated either by updating the links to the respective Board Pack or by manually inputting numbers. As of 1 January 2018, and following IFRS9 implementation, 90+DPD is no longer reported.</t>
  </si>
  <si>
    <t>Coverage (both tangible and provision coverage) figures can be found in G:\ACCOUNTS\ResultYYYY-MM\HELIX FINANCIAL SPREADSHEET MM YYYY (where MM marks the month and YYYY marks the year) and then following the links.</t>
  </si>
  <si>
    <t>T07 Rescheduled – figures can be found in G:\ACCOUNTS\Results YYYY-MM\Credit Risk Note MM YYYY (where MM Marks the month and YYYY marks the year). All numbers need to be updated by updating the links to the respective files.</t>
  </si>
  <si>
    <t>T08 REMU Balance Sheet movement. All numbers need to be updated either by updating the links to the respective Board Pack or by manually inputting numbers.</t>
  </si>
  <si>
    <t>Leverage ratio can be found in MIS board pack. Board pack can be found in G:\ACCOUNTS\GRMISXXXX (where XXXX marks the most recent quarter) in the Footings&amp;bsheet tab in column T under the balance sheet. Number can either be linked or updated manually.</t>
  </si>
  <si>
    <t>Financial Spreadsheet accompanying the IR presentation</t>
  </si>
  <si>
    <t>2Q2025</t>
  </si>
  <si>
    <t>06M2025</t>
  </si>
  <si>
    <t>Jan-Jun 2025</t>
  </si>
  <si>
    <t>AS T08.01 REPOSSESSED (REMU)</t>
  </si>
  <si>
    <t>Gross Loans by country of risk</t>
  </si>
  <si>
    <t xml:space="preserve">Stock at the end of period </t>
  </si>
  <si>
    <t xml:space="preserve">Return on tangible equity (ROTE) (annualised) </t>
  </si>
  <si>
    <t>By customer sector</t>
  </si>
  <si>
    <t>Retail</t>
  </si>
  <si>
    <t>International corporate</t>
  </si>
  <si>
    <t>IBU</t>
  </si>
  <si>
    <t>Corporate</t>
  </si>
  <si>
    <t xml:space="preserve">Total GROUP / Cyprus </t>
  </si>
  <si>
    <t xml:space="preserve">Treasury </t>
  </si>
  <si>
    <t xml:space="preserve">Income Statement by business line </t>
  </si>
  <si>
    <t>IBU &amp; International Corporate</t>
  </si>
  <si>
    <t>Provisions for pending litigation, claims, regulatory and other matters (net of reversals)</t>
  </si>
  <si>
    <t>3Q2025</t>
  </si>
  <si>
    <t>09M2025</t>
  </si>
  <si>
    <t>Jan-Sep 2025</t>
  </si>
  <si>
    <t>4Q2025</t>
  </si>
  <si>
    <t>12M2025</t>
  </si>
  <si>
    <t>Jan-Dec 2025</t>
  </si>
  <si>
    <t xml:space="preserve">Net loans and advances to customers </t>
  </si>
  <si>
    <t xml:space="preserve">Stock of property </t>
  </si>
  <si>
    <t>Leverage ratio (Tangible total equity to total assets)</t>
  </si>
  <si>
    <t>A1. Loans with no arrears</t>
  </si>
  <si>
    <t>A2. Loans with arrears but not NPEs</t>
  </si>
  <si>
    <t>A3. NPEs</t>
  </si>
  <si>
    <t>Funding and liquidity ratios</t>
  </si>
  <si>
    <t xml:space="preserve">Basic earnings per share (cent) attributable to the owners of the Company/Bank </t>
  </si>
  <si>
    <t xml:space="preserve">Diluted earnings per share (cent) attributable to the owners of the Company/Bank </t>
  </si>
  <si>
    <t>Allowance for expected loan credit losses</t>
  </si>
  <si>
    <t xml:space="preserve">Credit Quality </t>
  </si>
  <si>
    <t xml:space="preserve">[1] Overseas primarily relates to Greece  </t>
  </si>
  <si>
    <r>
      <t xml:space="preserve">Overseas </t>
    </r>
    <r>
      <rPr>
        <vertAlign val="superscript"/>
        <sz val="9"/>
        <rFont val="Arial"/>
        <family val="2"/>
        <charset val="161"/>
      </rPr>
      <t>1</t>
    </r>
  </si>
  <si>
    <r>
      <t xml:space="preserve">Corporate </t>
    </r>
    <r>
      <rPr>
        <vertAlign val="superscript"/>
        <sz val="9"/>
        <color theme="1"/>
        <rFont val="Arial"/>
        <family val="2"/>
        <charset val="161"/>
      </rPr>
      <t>4</t>
    </r>
  </si>
  <si>
    <r>
      <t xml:space="preserve">NPEs by Geography </t>
    </r>
    <r>
      <rPr>
        <b/>
        <vertAlign val="superscript"/>
        <sz val="9"/>
        <rFont val="Arial"/>
        <family val="2"/>
        <charset val="161"/>
      </rPr>
      <t>6</t>
    </r>
  </si>
  <si>
    <r>
      <t xml:space="preserve">Corporate </t>
    </r>
    <r>
      <rPr>
        <vertAlign val="superscript"/>
        <sz val="10"/>
        <color theme="1"/>
        <rFont val="Arial"/>
        <family val="2"/>
        <charset val="161"/>
      </rPr>
      <t>4</t>
    </r>
  </si>
  <si>
    <t>Hotels &amp; Catering</t>
  </si>
  <si>
    <t>RRD-Restructuring Corporate</t>
  </si>
  <si>
    <t>RRD-Restructuring SMEs</t>
  </si>
  <si>
    <t>RRD-Restructuring Retail</t>
  </si>
  <si>
    <t>[6]  NPE by Geography are presented based on the country in which loans are managed.</t>
  </si>
  <si>
    <t>[7] As of 30 September 2025, the definition of both gross loans and allowance for expected loan credit losses was updated with respect to the residual fair value adjustment on initial recognition now been deducted from gross loans instead of being included in the allowance for expected loan credit losses. This revision was implemented to align the underlying basis with the statutory basis for gross loans and advances to customers measured at amortised cost and is not material. This update does not impact the net loans as a result of this update in the definitions. From September 2024 and onwards, comparative information has been revised to reflect this adjustment to conform with the current period’s disclosure format.</t>
  </si>
  <si>
    <r>
      <t xml:space="preserve">Sep 2024 </t>
    </r>
    <r>
      <rPr>
        <b/>
        <vertAlign val="superscript"/>
        <sz val="9"/>
        <color theme="1"/>
        <rFont val="Arial"/>
        <family val="2"/>
        <charset val="161"/>
      </rPr>
      <t>5, 7</t>
    </r>
  </si>
  <si>
    <r>
      <t xml:space="preserve">Dec 2024 </t>
    </r>
    <r>
      <rPr>
        <b/>
        <vertAlign val="superscript"/>
        <sz val="9"/>
        <color theme="1"/>
        <rFont val="Arial"/>
        <family val="2"/>
        <charset val="161"/>
      </rPr>
      <t>5, 7</t>
    </r>
  </si>
  <si>
    <r>
      <t xml:space="preserve">Mar 2025 </t>
    </r>
    <r>
      <rPr>
        <b/>
        <vertAlign val="superscript"/>
        <sz val="9"/>
        <color theme="1"/>
        <rFont val="Arial"/>
        <family val="2"/>
        <charset val="161"/>
      </rPr>
      <t>7</t>
    </r>
  </si>
  <si>
    <r>
      <t xml:space="preserve">Jun 2025 </t>
    </r>
    <r>
      <rPr>
        <b/>
        <vertAlign val="superscript"/>
        <sz val="9"/>
        <color theme="1"/>
        <rFont val="Arial"/>
        <family val="2"/>
        <charset val="161"/>
      </rPr>
      <t>7</t>
    </r>
  </si>
  <si>
    <r>
      <t xml:space="preserve">Dec 2025 </t>
    </r>
    <r>
      <rPr>
        <b/>
        <vertAlign val="superscript"/>
        <sz val="9"/>
        <color theme="1"/>
        <rFont val="Arial"/>
        <family val="2"/>
        <charset val="161"/>
      </rPr>
      <t>7</t>
    </r>
  </si>
  <si>
    <t>[5]  Pro forma for HFS for December 2024 results in relation to the agreement for the sale of €54 mn NPEs. Pro forma for HFS for September 2024 results in relation to the agreement for the sale of €27 mn NPEs. Trades have been completed in 1H2025.</t>
  </si>
  <si>
    <r>
      <t xml:space="preserve">Sep 2025 </t>
    </r>
    <r>
      <rPr>
        <b/>
        <vertAlign val="superscript"/>
        <sz val="9"/>
        <color theme="1"/>
        <rFont val="Arial"/>
        <family val="2"/>
        <charset val="161"/>
      </rPr>
      <t>7, 8</t>
    </r>
  </si>
  <si>
    <t>[8]  Pro forma for HFS for September 2025 results in relation to the agreement for the sale of €35 mn NPEs. Trade has been completed in 4Q2025.</t>
  </si>
  <si>
    <t>Key financial data &amp; ratios for Bank of Cyprus Holdings Group (Income Statement)</t>
  </si>
  <si>
    <t>Bank of Cyprus Holdings Group - Key financial data &amp; ratios (Income Statement)</t>
  </si>
  <si>
    <t>Bank of Cyprus Holdings Group - Key financial data &amp; ratios (Balance sheet)</t>
  </si>
  <si>
    <t>Key financial data &amp; ratios for Bank of Cyprus Holdings Group (Balance sheet)</t>
  </si>
  <si>
    <t xml:space="preserve">Bank of Cyprus Holdings Group - Income statement by business line </t>
  </si>
  <si>
    <t>Payment Services</t>
  </si>
  <si>
    <t>Bank of Cyprus Holdings Group - Gross Loans analysis</t>
  </si>
  <si>
    <t>Bank of Cyprus Holdings Group - Asset Quality - NPEs</t>
  </si>
  <si>
    <t>Bank of Cyprus Holdings Group - Asset Quality - Rescheduled</t>
  </si>
  <si>
    <t xml:space="preserve">Credit quality </t>
  </si>
  <si>
    <t xml:space="preserve">Bank of Cyprus Holdings Group - Capital </t>
  </si>
  <si>
    <t xml:space="preserve">Definitions and further explanations on the financial information presented in this Financial Factsheet is provided in Section F. ‘Definitions and Explanations’ of the ‘Preliminary Group Financial Results for the year ended 31 December 2025’ as published on the Bank of Cyprus Holdings Group website. </t>
  </si>
  <si>
    <t>This document contains certain forward-looking statements with respect to the financial condition, results of operations and business of Bank of Cyprus Holdings Public Limited Company (together with Bank of Cyprus Public Company Limited, the ‘Bank’, and its subsidiaries, the ‘Group’) ‘’and its current goals and expectations relating to its future financial condition and performance, the markets in which it operates and its future capital requirements. These forward-looking statements can be identified by the fact that they do not relate only to historical or current facts. Forward-looking statements can usually be identified by terms used such as ‘achieve’, ‘aim’, ‘anticipate’, ‘assume’, ‘believe’, ‘continue’, ‘could’, ‘estimate’, ‘expect’, ‘goal’, ‘intend’, ‘may’, ‘project’, ‘plan’, ‘seek’, ‘should’, ‘target’, ‘will’ or similar expressions or variations thereof or their negative variations, but their absence does not mean that a statement is not forward-looking. Forward-looking statements can be made in writing but also may be made verbally by directors, officers and employees of the Group (including during management presentations) in connection with this document. Examples of forward-looking statements include, but are not limited to, statements relating to the Group’s near term, medium term and longer term future capital requirements and ratios, intentions, beliefs or current expectations and projections about the Group’s future results of operations, financial condition, expected impairment charges, the level of the Group’s assets, liquidity, performance, prospects, anticipated levels of growth, provisions, impairments, business strategies and opportunities, capital generation and distributions (including distribution policy), return on tangible equity and commitments and targets (including environmental, social and governance (ESG) commitments and targets). By their nature, forward-looking statements involve risk and uncertainty because they relate to events, and depend upon circumstances, that will or may occur in the future. Factors that could cause actual business, strategy and/or results to differ materially from the plans, objectives, expectations, estimates and intentions expressed in such forward-looking statements made by the Group include, but are not limited to: general economic and political conditions in Cyprus, other European Union (EU) Member States and globally, interest rate and foreign exchange fluctuations, legislative, fiscal and regulatory developments, information technology, litigation and other operational risks, adverse market conditions, the impact of outbreaks, epidemics or pandemics and geopolitical developments. This creates significantly greater uncertainty about forward-looking statements. Should any one or more of these or other factors materialise, or should any underlying assumptions prove to be incorrect, the actual results or events could differ materially from those currently being anticipated as reflected in such forward-looking statements. The forward-looking statements made in this document are only applicable as at the date of publication of this document. Except as required by any applicable law or regulation, the Group expressly disclaims any obligation or undertaking to release publicly any updates or revisions to any forward-looking statement contained in this document to reflect any change in the Group’s expectations or any change in events, conditions or circumstances on which any statement is based. Changes in our reporting frameworks and accounting standards may have a material impact on the way we prepare our financial statements. In setting future targets and outlook, the Group has made certain assumptions about the macroeconomic environment and the Group’s businesses, which are subject to change.</t>
  </si>
  <si>
    <r>
      <t xml:space="preserve">Net insurance result </t>
    </r>
    <r>
      <rPr>
        <vertAlign val="superscript"/>
        <sz val="9"/>
        <color theme="1"/>
        <rFont val="Arial"/>
        <family val="2"/>
        <charset val="161"/>
      </rPr>
      <t>1</t>
    </r>
  </si>
  <si>
    <r>
      <t xml:space="preserve">Advisory and other transformation costs – organic </t>
    </r>
    <r>
      <rPr>
        <vertAlign val="superscript"/>
        <sz val="9"/>
        <color theme="1"/>
        <rFont val="Arial"/>
        <family val="2"/>
        <charset val="161"/>
      </rPr>
      <t>2</t>
    </r>
  </si>
  <si>
    <r>
      <t xml:space="preserve">Return on tangible equity (ROTE), on 15% CET1 ratio  (annualised) </t>
    </r>
    <r>
      <rPr>
        <vertAlign val="superscript"/>
        <sz val="9"/>
        <color theme="1"/>
        <rFont val="Arial"/>
        <family val="2"/>
        <charset val="161"/>
      </rPr>
      <t>3</t>
    </r>
  </si>
  <si>
    <r>
      <t xml:space="preserve">Basic earnings/(losses) per share (€) attributable to the owners of the Company/Bank </t>
    </r>
    <r>
      <rPr>
        <vertAlign val="superscript"/>
        <sz val="9"/>
        <color theme="1"/>
        <rFont val="Arial"/>
        <family val="2"/>
        <charset val="161"/>
      </rPr>
      <t xml:space="preserve"> 4</t>
    </r>
  </si>
  <si>
    <r>
      <t xml:space="preserve">Tangible book value per share (€) </t>
    </r>
    <r>
      <rPr>
        <vertAlign val="superscript"/>
        <sz val="9"/>
        <color theme="1"/>
        <rFont val="Arial"/>
        <family val="2"/>
        <charset val="161"/>
      </rPr>
      <t>4</t>
    </r>
  </si>
  <si>
    <r>
      <t xml:space="preserve">Tangible book value per share (€), excluding the proposed cash dividend, where applicable </t>
    </r>
    <r>
      <rPr>
        <vertAlign val="superscript"/>
        <sz val="9"/>
        <color theme="1"/>
        <rFont val="Arial"/>
        <family val="2"/>
        <charset val="161"/>
      </rPr>
      <t>4</t>
    </r>
  </si>
  <si>
    <t xml:space="preserve">[2] Comprise mainly of fees of external advisors in relation to: (i) the tranformation program and other strategic projects of the Group and (ii) customer loan restructuring activities, where applicable. </t>
  </si>
  <si>
    <t>[3] Calculated as Profit/(loss) after tax (attributable to the owners of the Company) (as defined) (annualised - (based on year - to - date days)), divided by the quarterly average of Shareholders’ equity minus intangible assets and after deducting the excess CET1 capital on a 15% CET1 ratio from the tangible book value.</t>
  </si>
  <si>
    <t>[4] Based on number of shares in issue, excluding treasury shares</t>
  </si>
  <si>
    <t>[1] Net insurance result comprises the aggregate of captions ‘Net insurance finance income/(expense) and net reinsurance finance income/(expense)’, ‘Net insurance service result’ and ‘Net reinsurance service result’ per the statutory basis.</t>
  </si>
  <si>
    <t>1Q2026</t>
  </si>
  <si>
    <t>03M2026</t>
  </si>
  <si>
    <r>
      <t xml:space="preserve">Mar 2026 </t>
    </r>
    <r>
      <rPr>
        <b/>
        <vertAlign val="superscript"/>
        <sz val="9"/>
        <color theme="1"/>
        <rFont val="Arial"/>
        <family val="2"/>
        <charset val="161"/>
      </rPr>
      <t>7</t>
    </r>
  </si>
  <si>
    <t>Jan-Mar 2026</t>
  </si>
  <si>
    <t>BBB</t>
  </si>
  <si>
    <t>bbb</t>
  </si>
  <si>
    <t>USA</t>
  </si>
  <si>
    <t xml:space="preserve">Provisions for impairment of customer loans  net  of gains/(losses) on derecognition of loans and  changes in expected cash flows </t>
  </si>
  <si>
    <r>
      <t xml:space="preserve">Corporate banking </t>
    </r>
    <r>
      <rPr>
        <b/>
        <vertAlign val="superscript"/>
        <sz val="9"/>
        <color theme="0"/>
        <rFont val="Arial"/>
        <family val="2"/>
        <charset val="161"/>
      </rPr>
      <t>2</t>
    </r>
  </si>
  <si>
    <r>
      <t xml:space="preserve">International business unit (IBU) </t>
    </r>
    <r>
      <rPr>
        <b/>
        <vertAlign val="superscript"/>
        <sz val="9"/>
        <color theme="0"/>
        <rFont val="Arial"/>
        <family val="2"/>
        <charset val="161"/>
      </rPr>
      <t>1</t>
    </r>
  </si>
  <si>
    <t xml:space="preserve">[2]  Pro forma for HFS for December 2024 results; Agreement for the sale of €54 mn NPEs; Pro forma for HFS for September 2024 results; Agreement for the sale of €27 mn NPEs; expected to be completed by 1H2025 subject to necessary approvals. </t>
  </si>
  <si>
    <t>[1] Regulatory ratios are reported for the inclusion of profits for each period and distribution accrual as applicable in line with the relevant ECB Decision (EU) (2015/656) on the recognition of interim or year-end profits in CET1 capital in accordance with Article 26(2) of the CRR (ECB Decision (EU) (2015/656)) and are as follows: Capital ratios as at 31 March each year do not include interim profits. Capital ratios as at 30 June and 30 September each year include reviewed profits for the six months ended 30 June  in line with the ECB Decision (EU) (2015/656) and an accrual for an estimated ordinary distribution at a payout ratio at the top end range of the Group’s approved distribution policy for each year of the Group Adjusted Profit after tax for the period. Capital ratios as at 31 December each year include profits for the year then ended in line with the ECB Decision (EU) (2015/656) and an accrual for the final distribution declared for the year.</t>
  </si>
  <si>
    <t xml:space="preserve">Mar-23 </t>
  </si>
  <si>
    <t xml:space="preserve">Jun-23 </t>
  </si>
  <si>
    <t xml:space="preserve">Sep-23 </t>
  </si>
  <si>
    <t xml:space="preserve">Dec-23 </t>
  </si>
  <si>
    <t xml:space="preserve">Mar-25 </t>
  </si>
  <si>
    <t xml:space="preserve">Jun-25 </t>
  </si>
  <si>
    <t>Dec-24</t>
  </si>
  <si>
    <t xml:space="preserve">Sep-25 </t>
  </si>
  <si>
    <t xml:space="preserve">Dec-25 </t>
  </si>
  <si>
    <t xml:space="preserve">Mar-26 </t>
  </si>
  <si>
    <r>
      <t xml:space="preserve">CET 1 (transitional) ratio (regulatory) </t>
    </r>
    <r>
      <rPr>
        <b/>
        <vertAlign val="superscript"/>
        <sz val="9"/>
        <rFont val="Arial"/>
        <family val="2"/>
        <charset val="161"/>
      </rPr>
      <t>1</t>
    </r>
  </si>
  <si>
    <r>
      <t xml:space="preserve">Common Equity Tier 1 (fully loaded) ratio (regulatory) </t>
    </r>
    <r>
      <rPr>
        <b/>
        <vertAlign val="superscript"/>
        <sz val="9"/>
        <rFont val="Arial"/>
        <family val="2"/>
        <charset val="161"/>
      </rPr>
      <t>1</t>
    </r>
  </si>
  <si>
    <r>
      <t xml:space="preserve">Total Capital (transitional) ratio (regulatory) </t>
    </r>
    <r>
      <rPr>
        <b/>
        <vertAlign val="superscript"/>
        <sz val="9"/>
        <rFont val="Arial"/>
        <family val="2"/>
        <charset val="161"/>
      </rPr>
      <t>1</t>
    </r>
  </si>
  <si>
    <t xml:space="preserve">Dec-24 </t>
  </si>
  <si>
    <t>[6] Regulatory ratios are reported for the inclusion of profits for each period and distribution accrual as applicable in line with the relevant ECB Decision (EU) (2015/656) on the recognition of interim or year-end profits in CET1 capital in accordance with Article 26(2) of the CRR (ECB Decision (EU) (2015/656)) and are as follows: Capital ratios as at 31 March each year do not include interim profits. Capital ratios as at 30 June and 30 September each year include reviewed profits for the six months ended 30 June  in line with the ECB Decision (EU) (2015/656) and an accrual for an estimated ordinary distribution at a payout ratio at the top end range of the Group’s approved distribution policy for each year of the Group Adjusted Profit after tax for the period. Capital ratios as at 31 December each year include profits for the year then ended in line with the ECB Decision (EU) (2015/656) and an accrual for the final distribution declared for the year.</t>
  </si>
  <si>
    <t xml:space="preserve">[3]  Pro forma for HFS for December 2024 results; Agreement for the sale of €54 mn NPEs; Pro forma for HFS for September 2024 results; Agreement for the sale of €27 mn NPEs; expected to be completed by 1H2025 subject to necessary approvals. </t>
  </si>
  <si>
    <t>[4]  Gross Loans by Geography are presented based on the country in which loans are managed.</t>
  </si>
  <si>
    <t>[5]  Gross Loans by country of risk is based on the Group’s Country Risk Policy which is followed for monitoring the Group's exposures.</t>
  </si>
  <si>
    <t>[6]  Gross Loans under Restructuring &amp; Recoveries Divisions are included in these business lines.</t>
  </si>
  <si>
    <r>
      <t xml:space="preserve">Sep 2024 </t>
    </r>
    <r>
      <rPr>
        <b/>
        <vertAlign val="superscript"/>
        <sz val="9"/>
        <color theme="1"/>
        <rFont val="Arial"/>
        <family val="2"/>
        <charset val="161"/>
      </rPr>
      <t>3, 7</t>
    </r>
  </si>
  <si>
    <r>
      <t xml:space="preserve">Dec 2024 </t>
    </r>
    <r>
      <rPr>
        <b/>
        <vertAlign val="superscript"/>
        <sz val="9"/>
        <color theme="1"/>
        <rFont val="Arial"/>
        <family val="2"/>
        <charset val="161"/>
      </rPr>
      <t>3, 7</t>
    </r>
  </si>
  <si>
    <r>
      <t xml:space="preserve">Sep 2025 </t>
    </r>
    <r>
      <rPr>
        <b/>
        <vertAlign val="superscript"/>
        <sz val="9"/>
        <color theme="1"/>
        <rFont val="Arial"/>
        <family val="2"/>
        <charset val="161"/>
      </rPr>
      <t>7</t>
    </r>
  </si>
  <si>
    <r>
      <t xml:space="preserve">Gross Loans by Geography </t>
    </r>
    <r>
      <rPr>
        <b/>
        <vertAlign val="superscript"/>
        <sz val="9"/>
        <color theme="0"/>
        <rFont val="Arial"/>
        <family val="2"/>
        <charset val="161"/>
      </rPr>
      <t>4</t>
    </r>
  </si>
  <si>
    <r>
      <t xml:space="preserve">Gross Loans by country of risk </t>
    </r>
    <r>
      <rPr>
        <b/>
        <vertAlign val="superscript"/>
        <sz val="9"/>
        <color theme="0"/>
        <rFont val="Arial"/>
        <family val="2"/>
        <charset val="161"/>
      </rPr>
      <t>5</t>
    </r>
  </si>
  <si>
    <r>
      <t xml:space="preserve">Gross Loans by business line </t>
    </r>
    <r>
      <rPr>
        <b/>
        <vertAlign val="superscript"/>
        <sz val="9"/>
        <color theme="0"/>
        <rFont val="Arial"/>
        <family val="2"/>
        <charset val="161"/>
      </rPr>
      <t>6</t>
    </r>
  </si>
  <si>
    <t xml:space="preserve">A. Gross Loans </t>
  </si>
  <si>
    <r>
      <t xml:space="preserve">CET 1 (transitional) ratio (regulatory) </t>
    </r>
    <r>
      <rPr>
        <b/>
        <vertAlign val="superscript"/>
        <sz val="9"/>
        <rFont val="Arial"/>
        <family val="2"/>
        <charset val="161"/>
      </rPr>
      <t>6</t>
    </r>
  </si>
  <si>
    <r>
      <t xml:space="preserve">Common Equity Tier 1 (fully loaded) ratio (regulatory) </t>
    </r>
    <r>
      <rPr>
        <b/>
        <vertAlign val="superscript"/>
        <sz val="9"/>
        <rFont val="Arial"/>
        <family val="2"/>
        <charset val="161"/>
      </rPr>
      <t>6</t>
    </r>
  </si>
  <si>
    <r>
      <t xml:space="preserve">CET 1 (transitional) ratio (including retained earnings) </t>
    </r>
    <r>
      <rPr>
        <b/>
        <vertAlign val="superscript"/>
        <sz val="9"/>
        <rFont val="Arial"/>
        <family val="2"/>
        <charset val="161"/>
      </rPr>
      <t>7</t>
    </r>
  </si>
  <si>
    <r>
      <t xml:space="preserve">Total Capital (transitional) ratio (including retained earnings) </t>
    </r>
    <r>
      <rPr>
        <b/>
        <vertAlign val="superscript"/>
        <sz val="9"/>
        <rFont val="Arial"/>
        <family val="2"/>
        <charset val="161"/>
      </rPr>
      <t>7</t>
    </r>
  </si>
  <si>
    <t xml:space="preserve">Adjusted recurring profitability </t>
  </si>
  <si>
    <t>[3] From 2024 onwards, ‘Wealth Management’ no longer represents a separate segment. The activities of Institutional Wealth Management and Custody  are part of segment ‘Treasury’, Afluent Banking activities are under segment ‘Retail’ and the activities of the subsidiary companies of the Group, CISCO and its subsidiary, whose activities relate to investment banking, brokerage, discretionary asset management and investment advice services and do not qualify as a material segment, are now presented under ‘Other’; whereas.</t>
  </si>
  <si>
    <t xml:space="preserve">[4] As from the period ended 31 December 2023, JCC represents a separate business line.  Previously JCC was disclosed within the Other business line. </t>
  </si>
  <si>
    <t xml:space="preserve">[5] As from the period ended 31 December 2024, International business unit (IBU) and International Corporate Banking represents as one line as 'IBU &amp; International Corporate' business line. Previously, IBU was disclosed as a separate line as International business unit (IBU) and International Corporate was disclosed as a separate line as International Corporate Banking. </t>
  </si>
  <si>
    <t>[6] Overseas line included in Other.</t>
  </si>
  <si>
    <r>
      <t xml:space="preserve">IBU &amp; International Corporate </t>
    </r>
    <r>
      <rPr>
        <b/>
        <vertAlign val="superscript"/>
        <sz val="9"/>
        <color theme="0"/>
        <rFont val="Arial"/>
        <family val="2"/>
        <charset val="161"/>
      </rPr>
      <t>1, 2, 5</t>
    </r>
  </si>
  <si>
    <r>
      <t xml:space="preserve">Wealth &amp; Brokerage &amp; Asset Management </t>
    </r>
    <r>
      <rPr>
        <b/>
        <vertAlign val="superscript"/>
        <sz val="9"/>
        <color theme="0"/>
        <rFont val="Arial"/>
        <family val="2"/>
        <charset val="161"/>
      </rPr>
      <t>3</t>
    </r>
  </si>
  <si>
    <r>
      <t xml:space="preserve">Payment Services </t>
    </r>
    <r>
      <rPr>
        <b/>
        <vertAlign val="superscript"/>
        <sz val="9"/>
        <color theme="0"/>
        <rFont val="Arial"/>
        <family val="2"/>
        <charset val="161"/>
      </rPr>
      <t>4</t>
    </r>
  </si>
  <si>
    <r>
      <t xml:space="preserve">Other </t>
    </r>
    <r>
      <rPr>
        <b/>
        <vertAlign val="superscript"/>
        <sz val="9"/>
        <color theme="0"/>
        <rFont val="Arial"/>
        <family val="2"/>
        <charset val="161"/>
      </rPr>
      <t>6</t>
    </r>
  </si>
  <si>
    <t>Gross Loans by Stage</t>
  </si>
  <si>
    <t>2Q2026</t>
  </si>
  <si>
    <t>06M2026</t>
  </si>
  <si>
    <t>2Q2026 vs 1Q2026 (qoq%)</t>
  </si>
  <si>
    <t>06M2026 vs 06M2025 (yoy%)</t>
  </si>
  <si>
    <t xml:space="preserve">Jun-26 </t>
  </si>
  <si>
    <t>Jun 26 vs Mar 26 (Δ%)</t>
  </si>
  <si>
    <r>
      <t xml:space="preserve">Jun 2026 </t>
    </r>
    <r>
      <rPr>
        <b/>
        <vertAlign val="superscript"/>
        <sz val="9"/>
        <color theme="1"/>
        <rFont val="Arial"/>
        <family val="2"/>
        <charset val="161"/>
      </rPr>
      <t>7</t>
    </r>
  </si>
  <si>
    <t>Jun 26 vs Mar 26 (qoq%)</t>
  </si>
  <si>
    <t>Jan-Jun 2026</t>
  </si>
  <si>
    <r>
      <t xml:space="preserve">International Corporate </t>
    </r>
    <r>
      <rPr>
        <vertAlign val="superscript"/>
        <sz val="10"/>
        <color theme="1"/>
        <rFont val="Arial"/>
        <family val="2"/>
        <charset val="161"/>
      </rPr>
      <t>3</t>
    </r>
  </si>
  <si>
    <t>[7] Capital ratios including retained earnings include profits for the period presented less an accrual for an estimated ordinary distribution at a payout ratio at the top end range of the Group’s approved distribution policy for each year of the Group Adjusted Profit after tax for the period. For the 31 December each year, the capital ratios including retained earnings include an accrual for the distribution by reference to the final distribution declared for the relevant year. Capital ratios including retained earnings are matching the regulatory capital ratios in June and December for each of the years presented as profits are included in line with the relevant ECB Decision (EU) (2015/656) on the recognition of interim or year-end profits in CET1 capital in accordance with Article 26(2) of the CRR (ECB Decision (EU) (2015/656)).</t>
  </si>
  <si>
    <t>Debt securities, equity and other investments</t>
  </si>
  <si>
    <t>Profit after tax attributable to owners of the parent (mn)</t>
  </si>
  <si>
    <t xml:space="preserve">LCR ratio </t>
  </si>
  <si>
    <t>[3] Based on number of shares in issue, excluding treasury shares.</t>
  </si>
  <si>
    <t>[4] Deposits by geographical area presented are based on the country of residence of the Ultimate Beneficial Owner.</t>
  </si>
  <si>
    <t>[5] As of 30 September 2025, the definition of both gross loans and allowance for expected loan credit losses was updated with respect to the residual fair value adjustment on initial recognition now been deducted from gross loans instead of being included in the allowance for expected loan credit losses. This revision was implemented to align the underlying basis with the statutory basis for gross loans and advances to customers measured at amortised cost and is not material. This update does not impact the net loans as a result of this update in the definitions. From September 2024 and onwards, comparative information has been revised to reflect this adjustment to conform with the current period’s disclosure format.</t>
  </si>
  <si>
    <r>
      <t>NPEs</t>
    </r>
    <r>
      <rPr>
        <b/>
        <vertAlign val="superscript"/>
        <sz val="9"/>
        <color rgb="FF000000"/>
        <rFont val="Arial"/>
        <family val="2"/>
        <charset val="161"/>
      </rPr>
      <t xml:space="preserve"> 2, 5</t>
    </r>
  </si>
  <si>
    <r>
      <t xml:space="preserve">NPEs ratio </t>
    </r>
    <r>
      <rPr>
        <b/>
        <vertAlign val="superscript"/>
        <sz val="9"/>
        <color rgb="FF000000"/>
        <rFont val="Arial"/>
        <family val="2"/>
        <charset val="161"/>
      </rPr>
      <t>2, 5</t>
    </r>
  </si>
  <si>
    <r>
      <t xml:space="preserve">NPEs coverage ratio </t>
    </r>
    <r>
      <rPr>
        <b/>
        <vertAlign val="superscript"/>
        <sz val="9"/>
        <color rgb="FF000000"/>
        <rFont val="Arial"/>
        <family val="2"/>
        <charset val="161"/>
      </rPr>
      <t>2, 5</t>
    </r>
  </si>
  <si>
    <r>
      <t xml:space="preserve">Weighted average number of outstanding shares (000's) </t>
    </r>
    <r>
      <rPr>
        <vertAlign val="superscript"/>
        <sz val="9"/>
        <color theme="1"/>
        <rFont val="Arial"/>
        <family val="2"/>
        <charset val="161"/>
      </rPr>
      <t>3</t>
    </r>
  </si>
  <si>
    <r>
      <t xml:space="preserve">By geographical area </t>
    </r>
    <r>
      <rPr>
        <b/>
        <vertAlign val="superscript"/>
        <sz val="9"/>
        <color theme="1"/>
        <rFont val="Arial"/>
        <family val="2"/>
        <charset val="161"/>
      </rPr>
      <t>4</t>
    </r>
  </si>
  <si>
    <t>Profit after tax attributable to owners of the parent (YTD) (mn)</t>
  </si>
  <si>
    <t xml:space="preserve">[1] As from the period ended 31 December 2022 and until the period ended 30 September 2024, International Corporate Banking represented in a separate business line.  </t>
  </si>
  <si>
    <t>[2] Loan credit losses charge (cost of risk) (year to date) is calculated as the ‘loan credit losses’ divided by average gross loans (the average balance calculated as the average of the opening balance and the closing balance). Where cost of risk is presented as a negative it refers to a net release for the period presented.</t>
  </si>
  <si>
    <r>
      <t xml:space="preserve">Cost of Risk </t>
    </r>
    <r>
      <rPr>
        <b/>
        <vertAlign val="superscript"/>
        <sz val="9"/>
        <color theme="0"/>
        <rFont val="Arial"/>
        <family val="2"/>
        <charset val="161"/>
      </rPr>
      <t>2</t>
    </r>
    <r>
      <rPr>
        <b/>
        <sz val="9"/>
        <color theme="0"/>
        <rFont val="Arial"/>
        <family val="2"/>
        <charset val="161"/>
      </rPr>
      <t xml:space="preserve"> (YTD)</t>
    </r>
  </si>
  <si>
    <t xml:space="preserve">[2] CET1 includes regulatory deductions, comprising, amongst others, deferred tax assets and intangible assets. </t>
  </si>
  <si>
    <t xml:space="preserve">[3] As from the period ended 31 December 2022 and until the period ended 30 September 2024, International Corporate Banking represented in a separate business line.  </t>
  </si>
  <si>
    <t>[2] As from the period ended 31 March 2023, Corporate and Large corporate is disclosed in one line.</t>
  </si>
  <si>
    <t>[4] As from the period ended 31 March 2023, Corporate and Large corporate is disclosed in one line.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</si>
</sst>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4">
    <numFmt numFmtId="43" formatCode="_-* #,##0.00_-;\-* #,##0.00_-;_-* &quot;-&quot;??_-;_-@_-"/>
    <numFmt numFmtId="164" formatCode="[$-809]dd\ mmmm\ yyyy"/>
    <numFmt numFmtId="165" formatCode="#,##0.0"/>
    <numFmt numFmtId="166" formatCode="0.0%"/>
    <numFmt numFmtId="167" formatCode="[$-809]mmm\ yy"/>
    <numFmt numFmtId="168" formatCode="#,##0.00_ ;[Red]\-#,##0.00;\-"/>
    <numFmt numFmtId="169" formatCode="0.0\x"/>
    <numFmt numFmtId="170" formatCode="@\ *."/>
    <numFmt numFmtId="171" formatCode="#"/>
    <numFmt numFmtId="172" formatCode="\ \ \ \ \ \ \ \ \ \ @\ *."/>
    <numFmt numFmtId="173" formatCode="\ \ \ \ \ \ \ \ \ \ \ \ @\ *."/>
    <numFmt numFmtId="174" formatCode="\ \ \ \ \ \ \ \ \ \ \ \ @"/>
    <numFmt numFmtId="175" formatCode="\ \ \ \ \ \ \ \ \ \ \ \ \ @\ *."/>
    <numFmt numFmtId="176" formatCode="\ @\ *."/>
    <numFmt numFmtId="177" formatCode="\ @"/>
    <numFmt numFmtId="178" formatCode="\ \ @\ *."/>
    <numFmt numFmtId="179" formatCode="\ \ @"/>
    <numFmt numFmtId="180" formatCode="\ \ \ @\ *."/>
    <numFmt numFmtId="181" formatCode="\ \ \ @"/>
    <numFmt numFmtId="182" formatCode="\ \ \ \ @\ *."/>
    <numFmt numFmtId="183" formatCode="\ \ \ \ @"/>
    <numFmt numFmtId="184" formatCode="\ \ \ \ \ \ @\ *."/>
    <numFmt numFmtId="185" formatCode="\ \ \ \ \ \ @"/>
    <numFmt numFmtId="186" formatCode="\ \ \ \ \ \ \ @\ *."/>
    <numFmt numFmtId="187" formatCode="\ \ \ \ \ \ \ \ \ @\ *."/>
    <numFmt numFmtId="188" formatCode="\ \ \ \ \ \ \ \ \ @"/>
    <numFmt numFmtId="189" formatCode="_-* #,##0_-;\(#,##0\);_-* &quot;-&quot;_-;_-@_-"/>
    <numFmt numFmtId="190" formatCode="_-* #,##0.00\ _€_-;\-* #,##0.00\ _€_-;_-* &quot;-&quot;??\ _€_-;_-@_-"/>
    <numFmt numFmtId="191" formatCode="0.000"/>
    <numFmt numFmtId="192" formatCode="#,##0.000"/>
    <numFmt numFmtId="193" formatCode="0.00000"/>
    <numFmt numFmtId="194" formatCode="#,##0.0000"/>
    <numFmt numFmtId="195" formatCode="0.0"/>
    <numFmt numFmtId="196" formatCode="0.0000%"/>
  </numFmts>
  <fonts count="134">
    <font>
      <sz val="11"/>
      <color theme="1"/>
      <name val="Calibri"/>
      <family val="2"/>
      <scheme val="minor"/>
    </font>
    <font>
      <sz val="11"/>
      <color theme="1"/>
      <name val="Calibri"/>
      <family val="2"/>
      <scheme val="minor"/>
    </font>
    <font>
      <b/>
      <sz val="18"/>
      <color theme="3"/>
      <name val="Cambria"/>
      <family val="2"/>
      <scheme val="major"/>
    </font>
    <font>
      <sz val="10"/>
      <color theme="1"/>
      <name val="Arial"/>
      <family val="2"/>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FA7D00"/>
      <name val="Arial"/>
      <family val="2"/>
    </font>
    <font>
      <b/>
      <sz val="10"/>
      <color theme="0"/>
      <name val="Arial"/>
      <family val="2"/>
    </font>
    <font>
      <sz val="10"/>
      <color theme="0"/>
      <name val="Arial"/>
      <family val="2"/>
    </font>
    <font>
      <sz val="10"/>
      <name val="Courier"/>
      <family val="3"/>
    </font>
    <font>
      <sz val="10"/>
      <name val="Courier"/>
      <family val="1"/>
      <charset val="238"/>
    </font>
    <font>
      <sz val="10"/>
      <name val="Arial"/>
      <family val="2"/>
    </font>
    <font>
      <b/>
      <sz val="10"/>
      <name val="Arial"/>
      <family val="2"/>
    </font>
    <font>
      <i/>
      <sz val="10"/>
      <name val="Arial"/>
      <family val="2"/>
    </font>
    <font>
      <b/>
      <i/>
      <sz val="10"/>
      <name val="Arial"/>
      <family val="2"/>
    </font>
    <font>
      <b/>
      <i/>
      <sz val="9"/>
      <name val="Arial"/>
      <family val="2"/>
    </font>
    <font>
      <b/>
      <sz val="9"/>
      <name val="Arial"/>
      <family val="2"/>
    </font>
    <font>
      <sz val="8"/>
      <name val="Arial"/>
      <family val="2"/>
    </font>
    <font>
      <sz val="10"/>
      <name val="Arial"/>
      <family val="2"/>
      <charset val="162"/>
    </font>
    <font>
      <sz val="10"/>
      <color indexed="72"/>
      <name val="Courier"/>
      <family val="1"/>
      <charset val="238"/>
    </font>
    <font>
      <sz val="7"/>
      <name val="Letter Gothic CE"/>
      <family val="3"/>
      <charset val="238"/>
    </font>
    <font>
      <sz val="10"/>
      <color indexed="8"/>
      <name val="Arial"/>
      <family val="2"/>
      <charset val="238"/>
    </font>
    <font>
      <sz val="7"/>
      <name val="Arial"/>
      <family val="2"/>
    </font>
    <font>
      <sz val="10"/>
      <color indexed="9"/>
      <name val="Arial"/>
      <family val="2"/>
      <charset val="238"/>
    </font>
    <font>
      <b/>
      <sz val="10"/>
      <color indexed="8"/>
      <name val="Arial"/>
      <family val="2"/>
      <charset val="238"/>
    </font>
    <font>
      <sz val="10"/>
      <color indexed="20"/>
      <name val="Arial"/>
      <family val="2"/>
      <charset val="238"/>
    </font>
    <font>
      <sz val="8"/>
      <name val="Palatino"/>
      <family val="1"/>
    </font>
    <font>
      <sz val="1"/>
      <color indexed="16"/>
      <name val="Courier"/>
      <family val="1"/>
      <charset val="238"/>
    </font>
    <font>
      <sz val="10"/>
      <color indexed="23"/>
      <name val="Courier"/>
      <family val="1"/>
      <charset val="238"/>
    </font>
    <font>
      <sz val="7"/>
      <name val="Palatino"/>
      <family val="1"/>
    </font>
    <font>
      <sz val="6"/>
      <color indexed="16"/>
      <name val="Palatino"/>
      <family val="1"/>
    </font>
    <font>
      <sz val="10"/>
      <color indexed="12"/>
      <name val="Arial"/>
      <family val="2"/>
    </font>
    <font>
      <i/>
      <sz val="10"/>
      <color indexed="12"/>
      <name val="Arial"/>
      <family val="2"/>
    </font>
    <font>
      <u/>
      <sz val="10"/>
      <color indexed="12"/>
      <name val="Arial CE"/>
      <charset val="238"/>
    </font>
    <font>
      <u/>
      <sz val="10"/>
      <color indexed="12"/>
      <name val="Arial"/>
      <family val="2"/>
      <charset val="162"/>
    </font>
    <font>
      <b/>
      <sz val="10"/>
      <color indexed="9"/>
      <name val="Arial"/>
      <family val="2"/>
      <charset val="238"/>
    </font>
    <font>
      <sz val="10"/>
      <color indexed="8"/>
      <name val="Arial"/>
      <family val="2"/>
    </font>
    <font>
      <b/>
      <sz val="18"/>
      <color indexed="56"/>
      <name val="Cambria"/>
      <family val="2"/>
      <charset val="238"/>
    </font>
    <font>
      <sz val="10"/>
      <color indexed="60"/>
      <name val="Arial"/>
      <family val="2"/>
      <charset val="238"/>
    </font>
    <font>
      <sz val="10"/>
      <name val="Palatino"/>
      <family val="1"/>
    </font>
    <font>
      <sz val="10"/>
      <color indexed="16"/>
      <name val="Helvetica-Black"/>
    </font>
    <font>
      <sz val="10"/>
      <color indexed="52"/>
      <name val="Arial"/>
      <family val="2"/>
      <charset val="238"/>
    </font>
    <font>
      <sz val="9.5"/>
      <color indexed="23"/>
      <name val="Helvetica-Black"/>
    </font>
    <font>
      <u/>
      <sz val="10"/>
      <color indexed="36"/>
      <name val="Arial CE"/>
      <charset val="238"/>
    </font>
    <font>
      <u/>
      <sz val="10"/>
      <color indexed="36"/>
      <name val="Arial"/>
      <family val="2"/>
      <charset val="162"/>
    </font>
    <font>
      <sz val="10"/>
      <color indexed="17"/>
      <name val="Arial"/>
      <family val="2"/>
      <charset val="238"/>
    </font>
    <font>
      <sz val="10"/>
      <name val="Arial"/>
      <family val="2"/>
      <charset val="238"/>
    </font>
    <font>
      <b/>
      <sz val="9"/>
      <name val="Palatino"/>
      <family val="1"/>
    </font>
    <font>
      <sz val="9"/>
      <color indexed="21"/>
      <name val="Helvetica-Black"/>
    </font>
    <font>
      <b/>
      <sz val="10"/>
      <name val="Palatino"/>
      <family val="1"/>
    </font>
    <font>
      <sz val="9"/>
      <name val="Helvetica-Black"/>
    </font>
    <font>
      <b/>
      <sz val="10"/>
      <name val="Times New Roman"/>
      <family val="1"/>
    </font>
    <font>
      <sz val="12"/>
      <color indexed="8"/>
      <name val="Palatino"/>
      <family val="1"/>
    </font>
    <font>
      <sz val="11"/>
      <color indexed="8"/>
      <name val="Helvetica-Black"/>
    </font>
    <font>
      <sz val="10"/>
      <color indexed="10"/>
      <name val="Arial"/>
      <family val="2"/>
      <charset val="238"/>
    </font>
    <font>
      <u/>
      <sz val="8"/>
      <color indexed="8"/>
      <name val="Arial"/>
      <family val="2"/>
    </font>
    <font>
      <i/>
      <sz val="10"/>
      <color indexed="23"/>
      <name val="Arial"/>
      <family val="2"/>
      <charset val="238"/>
    </font>
    <font>
      <b/>
      <i/>
      <sz val="8"/>
      <name val="Helv"/>
    </font>
    <font>
      <u/>
      <sz val="11"/>
      <color theme="10"/>
      <name val="Calibri"/>
      <family val="2"/>
      <scheme val="minor"/>
    </font>
    <font>
      <sz val="11"/>
      <color indexed="9"/>
      <name val="Calibri"/>
      <family val="2"/>
    </font>
    <font>
      <sz val="11"/>
      <color indexed="20"/>
      <name val="Calibri"/>
      <family val="2"/>
    </font>
    <font>
      <b/>
      <sz val="11"/>
      <color indexed="9"/>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b/>
      <sz val="18"/>
      <color indexed="56"/>
      <name val="Cambria"/>
      <family val="2"/>
    </font>
    <font>
      <b/>
      <sz val="9"/>
      <color theme="0"/>
      <name val="Arial"/>
      <family val="2"/>
      <charset val="161"/>
    </font>
    <font>
      <sz val="9"/>
      <color theme="0"/>
      <name val="Arial"/>
      <family val="2"/>
      <charset val="161"/>
    </font>
    <font>
      <b/>
      <sz val="9"/>
      <color theme="1"/>
      <name val="Arial"/>
      <family val="2"/>
      <charset val="161"/>
    </font>
    <font>
      <sz val="9"/>
      <color theme="1"/>
      <name val="Arial"/>
      <family val="2"/>
      <charset val="161"/>
    </font>
    <font>
      <b/>
      <sz val="9"/>
      <color theme="8" tint="-0.249977111117893"/>
      <name val="Arial"/>
      <family val="2"/>
      <charset val="161"/>
    </font>
    <font>
      <vertAlign val="superscript"/>
      <sz val="9"/>
      <color theme="1"/>
      <name val="Arial"/>
      <family val="2"/>
      <charset val="161"/>
    </font>
    <font>
      <sz val="9"/>
      <color rgb="FF000000"/>
      <name val="Arial"/>
      <family val="2"/>
      <charset val="161"/>
    </font>
    <font>
      <b/>
      <sz val="9"/>
      <color rgb="FF000000"/>
      <name val="Arial"/>
      <family val="2"/>
      <charset val="161"/>
    </font>
    <font>
      <b/>
      <vertAlign val="superscript"/>
      <sz val="9"/>
      <color theme="1"/>
      <name val="Arial"/>
      <family val="2"/>
      <charset val="161"/>
    </font>
    <font>
      <b/>
      <sz val="9"/>
      <name val="Arial"/>
      <family val="2"/>
      <charset val="161"/>
    </font>
    <font>
      <sz val="9"/>
      <color rgb="FF262626"/>
      <name val="Arial"/>
      <family val="2"/>
      <charset val="161"/>
    </font>
    <font>
      <sz val="9"/>
      <name val="Arial"/>
      <family val="2"/>
      <charset val="161"/>
    </font>
    <font>
      <sz val="10"/>
      <color indexed="60"/>
      <name val="Arial"/>
      <family val="2"/>
    </font>
    <font>
      <sz val="10"/>
      <color indexed="17"/>
      <name val="Arial"/>
      <family val="2"/>
    </font>
    <font>
      <b/>
      <sz val="11"/>
      <color indexed="52"/>
      <name val="Calibri"/>
      <family val="2"/>
    </font>
    <font>
      <b/>
      <sz val="10"/>
      <color indexed="52"/>
      <name val="Arial"/>
      <family val="2"/>
    </font>
    <font>
      <b/>
      <sz val="10"/>
      <color indexed="60"/>
      <name val="Arial"/>
      <family val="2"/>
    </font>
    <font>
      <sz val="10"/>
      <color indexed="52"/>
      <name val="Arial"/>
      <family val="2"/>
    </font>
    <font>
      <b/>
      <sz val="11"/>
      <color indexed="63"/>
      <name val="Arial"/>
      <family val="2"/>
    </font>
    <font>
      <sz val="10"/>
      <color indexed="54"/>
      <name val="Arial"/>
      <family val="2"/>
    </font>
    <font>
      <sz val="10"/>
      <color indexed="20"/>
      <name val="Arial"/>
      <family val="2"/>
    </font>
    <font>
      <sz val="10"/>
      <color indexed="19"/>
      <name val="Arial"/>
      <family val="2"/>
    </font>
    <font>
      <sz val="12"/>
      <name val="Times New Roman"/>
      <family val="1"/>
    </font>
    <font>
      <sz val="12"/>
      <name val="Arial"/>
      <family val="2"/>
    </font>
    <font>
      <b/>
      <sz val="11"/>
      <color indexed="63"/>
      <name val="Calibri"/>
      <family val="2"/>
    </font>
    <font>
      <b/>
      <sz val="10"/>
      <color indexed="38"/>
      <name val="Arial"/>
      <family val="2"/>
    </font>
    <font>
      <sz val="11"/>
      <color indexed="10"/>
      <name val="Calibri"/>
      <family val="2"/>
    </font>
    <font>
      <i/>
      <sz val="11"/>
      <color indexed="23"/>
      <name val="Calibri"/>
      <family val="2"/>
    </font>
    <font>
      <sz val="10"/>
      <color indexed="10"/>
      <name val="Arial"/>
      <family val="2"/>
    </font>
    <font>
      <i/>
      <sz val="10"/>
      <color indexed="23"/>
      <name val="Arial"/>
      <family val="2"/>
    </font>
    <font>
      <b/>
      <sz val="18"/>
      <color indexed="38"/>
      <name val="Cambria"/>
      <family val="2"/>
    </font>
    <font>
      <b/>
      <sz val="15"/>
      <color indexed="38"/>
      <name val="Calibri"/>
      <family val="2"/>
    </font>
    <font>
      <b/>
      <sz val="13"/>
      <color indexed="38"/>
      <name val="Calibri"/>
      <family val="2"/>
    </font>
    <font>
      <b/>
      <sz val="11"/>
      <color indexed="38"/>
      <name val="Calibri"/>
      <family val="2"/>
    </font>
    <font>
      <b/>
      <sz val="15"/>
      <color indexed="63"/>
      <name val="Arial"/>
      <family val="2"/>
    </font>
    <font>
      <b/>
      <sz val="13"/>
      <color indexed="63"/>
      <name val="Arial"/>
      <family val="2"/>
    </font>
    <font>
      <b/>
      <sz val="18"/>
      <color indexed="63"/>
      <name val="Cambria"/>
      <family val="2"/>
    </font>
    <font>
      <b/>
      <sz val="10"/>
      <color indexed="8"/>
      <name val="Arial"/>
      <family val="2"/>
    </font>
    <font>
      <vertAlign val="superscript"/>
      <sz val="9"/>
      <name val="Arial"/>
      <family val="2"/>
      <charset val="161"/>
    </font>
    <font>
      <b/>
      <sz val="8"/>
      <color theme="8" tint="-0.249977111117893"/>
      <name val="Arial"/>
      <family val="2"/>
      <charset val="161"/>
    </font>
    <font>
      <b/>
      <vertAlign val="superscript"/>
      <sz val="9"/>
      <color theme="0"/>
      <name val="Arial"/>
      <family val="2"/>
      <charset val="161"/>
    </font>
    <font>
      <sz val="9"/>
      <color theme="8" tint="-0.249977111117893"/>
      <name val="Arial"/>
      <family val="2"/>
      <charset val="161"/>
    </font>
    <font>
      <b/>
      <vertAlign val="superscript"/>
      <sz val="9"/>
      <name val="Arial"/>
      <family val="2"/>
      <charset val="161"/>
    </font>
    <font>
      <b/>
      <sz val="14"/>
      <color theme="8" tint="-0.249977111117893"/>
      <name val="Arial"/>
      <family val="2"/>
      <charset val="161"/>
    </font>
    <font>
      <b/>
      <sz val="14"/>
      <color theme="0"/>
      <name val="Arial"/>
      <family val="2"/>
      <charset val="161"/>
    </font>
    <font>
      <b/>
      <vertAlign val="superscript"/>
      <sz val="14"/>
      <color theme="0"/>
      <name val="Arial"/>
      <family val="2"/>
      <charset val="161"/>
    </font>
    <font>
      <u/>
      <sz val="9"/>
      <name val="Arial"/>
      <family val="2"/>
      <charset val="161"/>
    </font>
    <font>
      <b/>
      <sz val="11"/>
      <color theme="1"/>
      <name val="Calibri"/>
      <family val="2"/>
      <charset val="161"/>
      <scheme val="minor"/>
    </font>
    <font>
      <sz val="9"/>
      <color theme="1"/>
      <name val="Arial"/>
      <family val="2"/>
    </font>
    <font>
      <sz val="9"/>
      <color theme="1"/>
      <name val="Calibri"/>
      <family val="2"/>
      <scheme val="minor"/>
    </font>
    <font>
      <b/>
      <vertAlign val="superscript"/>
      <sz val="9"/>
      <color rgb="FF000000"/>
      <name val="Arial"/>
      <family val="2"/>
      <charset val="161"/>
    </font>
    <font>
      <b/>
      <sz val="9"/>
      <color theme="1"/>
      <name val="Calibri"/>
      <family val="2"/>
      <charset val="161"/>
      <scheme val="minor"/>
    </font>
    <font>
      <sz val="12"/>
      <color theme="0"/>
      <name val="Arial"/>
      <family val="2"/>
      <charset val="161"/>
    </font>
    <font>
      <b/>
      <sz val="10"/>
      <color theme="1"/>
      <name val="Arial"/>
      <family val="2"/>
      <charset val="161"/>
    </font>
    <font>
      <sz val="11"/>
      <name val="Calibri"/>
      <family val="2"/>
      <scheme val="minor"/>
    </font>
    <font>
      <sz val="8"/>
      <name val="Calibri"/>
      <family val="2"/>
      <scheme val="minor"/>
    </font>
    <font>
      <vertAlign val="superscript"/>
      <sz val="10"/>
      <color theme="1"/>
      <name val="Arial"/>
      <family val="2"/>
      <charset val="161"/>
    </font>
    <font>
      <b/>
      <sz val="9"/>
      <color theme="1"/>
      <name val="Verdana"/>
      <family val="2"/>
      <charset val="161"/>
    </font>
    <font>
      <i/>
      <sz val="9"/>
      <color theme="1"/>
      <name val="Verdana"/>
      <family val="2"/>
      <charset val="161"/>
    </font>
    <font>
      <sz val="9"/>
      <color theme="1"/>
      <name val="Verdana"/>
      <family val="2"/>
      <charset val="161"/>
    </font>
    <font>
      <sz val="8"/>
      <color theme="1"/>
      <name val="Calibri"/>
      <family val="2"/>
      <charset val="161"/>
      <scheme val="minor"/>
    </font>
    <font>
      <sz val="11"/>
      <color theme="1"/>
      <name val="Aptos Narrow"/>
      <family val="2"/>
    </font>
    <font>
      <sz val="10"/>
      <color theme="1"/>
      <name val="Arial"/>
      <family val="2"/>
      <charset val="161"/>
    </font>
  </fonts>
  <fills count="51">
    <fill>
      <patternFill patternType="none"/>
    </fill>
    <fill>
      <patternFill patternType="gray125"/>
    </fill>
    <fill>
      <patternFill patternType="solid">
        <fgColor rgb="FFC6EFCE"/>
      </patternFill>
    </fill>
    <fill>
      <patternFill patternType="solid">
        <fgColor rgb="FFFFC7CE"/>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22"/>
        <bgColor indexed="64"/>
      </patternFill>
    </fill>
    <fill>
      <patternFill patternType="solid">
        <fgColor indexed="26"/>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5"/>
      </patternFill>
    </fill>
    <fill>
      <patternFill patternType="solid">
        <fgColor indexed="43"/>
      </patternFill>
    </fill>
    <fill>
      <patternFill patternType="solid">
        <fgColor indexed="26"/>
      </patternFill>
    </fill>
    <fill>
      <patternFill patternType="solid">
        <fgColor indexed="26"/>
        <bgColor indexed="9"/>
      </patternFill>
    </fill>
    <fill>
      <patternFill patternType="solid">
        <fgColor indexed="16"/>
        <bgColor indexed="64"/>
      </patternFill>
    </fill>
    <fill>
      <patternFill patternType="solid">
        <fgColor indexed="8"/>
        <bgColor indexed="64"/>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theme="8" tint="-0.249977111117893"/>
        <bgColor indexed="64"/>
      </patternFill>
    </fill>
    <fill>
      <patternFill patternType="solid">
        <fgColor theme="8" tint="-0.499984740745262"/>
        <bgColor indexed="64"/>
      </patternFill>
    </fill>
    <fill>
      <patternFill patternType="solid">
        <fgColor indexed="32"/>
      </patternFill>
    </fill>
    <fill>
      <patternFill patternType="solid">
        <fgColor indexed="22"/>
      </patternFill>
    </fill>
    <fill>
      <patternFill patternType="solid">
        <fgColor indexed="24"/>
      </patternFill>
    </fill>
    <fill>
      <patternFill patternType="solid">
        <fgColor indexed="56"/>
      </patternFill>
    </fill>
    <fill>
      <patternFill patternType="solid">
        <fgColor indexed="34"/>
      </patternFill>
    </fill>
    <fill>
      <patternFill patternType="solid">
        <fgColor indexed="54"/>
      </patternFill>
    </fill>
    <fill>
      <patternFill patternType="solid">
        <fgColor theme="0"/>
        <bgColor indexed="64"/>
      </patternFill>
    </fill>
    <fill>
      <patternFill patternType="lightUp"/>
    </fill>
    <fill>
      <patternFill patternType="solid">
        <fgColor theme="6" tint="0.79998168889431442"/>
        <bgColor indexed="64"/>
      </patternFill>
    </fill>
    <fill>
      <patternFill patternType="solid">
        <fgColor theme="0" tint="-0.14999847407452621"/>
        <bgColor indexed="64"/>
      </patternFill>
    </fill>
    <fill>
      <patternFill patternType="solid">
        <fgColor rgb="FF92D050"/>
        <bgColor indexed="64"/>
      </patternFill>
    </fill>
  </fills>
  <borders count="3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hair">
        <color indexed="22"/>
      </bottom>
      <diagonal/>
    </border>
    <border>
      <left/>
      <right/>
      <top style="thin">
        <color indexed="62"/>
      </top>
      <bottom style="double">
        <color indexed="62"/>
      </bottom>
      <diagonal/>
    </border>
    <border>
      <left/>
      <right/>
      <top/>
      <bottom style="dotted">
        <color indexed="64"/>
      </bottom>
      <diagonal/>
    </border>
    <border>
      <left/>
      <right/>
      <top style="thin">
        <color indexed="64"/>
      </top>
      <bottom/>
      <diagonal/>
    </border>
    <border>
      <left style="dotted">
        <color indexed="22"/>
      </left>
      <right style="dotted">
        <color indexed="22"/>
      </right>
      <top style="dotted">
        <color indexed="22"/>
      </top>
      <bottom style="dotted">
        <color indexed="2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right/>
      <top style="medium">
        <color indexed="23"/>
      </top>
      <bottom style="medium">
        <color indexed="23"/>
      </bottom>
      <diagonal/>
    </border>
    <border>
      <left/>
      <right/>
      <top/>
      <bottom style="thin">
        <color indexed="64"/>
      </bottom>
      <diagonal/>
    </border>
    <border>
      <left style="thin">
        <color indexed="64"/>
      </left>
      <right/>
      <top/>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style="double">
        <color indexed="38"/>
      </left>
      <right style="double">
        <color indexed="38"/>
      </right>
      <top style="double">
        <color indexed="38"/>
      </top>
      <bottom style="double">
        <color indexed="38"/>
      </bottom>
      <diagonal/>
    </border>
    <border>
      <left style="thin">
        <color indexed="63"/>
      </left>
      <right style="thin">
        <color indexed="63"/>
      </right>
      <top style="thin">
        <color indexed="63"/>
      </top>
      <bottom style="thin">
        <color indexed="63"/>
      </bottom>
      <diagonal/>
    </border>
    <border>
      <left style="thin">
        <color indexed="38"/>
      </left>
      <right style="thin">
        <color indexed="38"/>
      </right>
      <top style="thin">
        <color indexed="38"/>
      </top>
      <bottom style="thin">
        <color indexed="38"/>
      </bottom>
      <diagonal/>
    </border>
    <border>
      <left/>
      <right/>
      <top/>
      <bottom style="thick">
        <color indexed="49"/>
      </bottom>
      <diagonal/>
    </border>
    <border>
      <left/>
      <right/>
      <top/>
      <bottom style="thick">
        <color indexed="35"/>
      </bottom>
      <diagonal/>
    </border>
    <border>
      <left/>
      <right/>
      <top/>
      <bottom style="medium">
        <color indexed="35"/>
      </bottom>
      <diagonal/>
    </border>
    <border>
      <left/>
      <right/>
      <top/>
      <bottom style="thick">
        <color indexed="24"/>
      </bottom>
      <diagonal/>
    </border>
    <border>
      <left/>
      <right/>
      <top/>
      <bottom style="medium">
        <color indexed="24"/>
      </bottom>
      <diagonal/>
    </border>
    <border>
      <left/>
      <right/>
      <top style="thin">
        <color indexed="49"/>
      </top>
      <bottom style="double">
        <color indexed="49"/>
      </bottom>
      <diagonal/>
    </border>
    <border>
      <left/>
      <right/>
      <top style="thin">
        <color indexed="64"/>
      </top>
      <bottom style="double">
        <color indexed="64"/>
      </bottom>
      <diagonal/>
    </border>
  </borders>
  <cellStyleXfs count="367">
    <xf numFmtId="0" fontId="0" fillId="0" borderId="0"/>
    <xf numFmtId="0" fontId="3" fillId="0" borderId="0"/>
    <xf numFmtId="164" fontId="1" fillId="0" borderId="0"/>
    <xf numFmtId="164" fontId="12" fillId="0" borderId="0">
      <alignment vertical="center"/>
    </xf>
    <xf numFmtId="164" fontId="13" fillId="0" borderId="0"/>
    <xf numFmtId="164" fontId="14" fillId="0" borderId="0"/>
    <xf numFmtId="14" fontId="12" fillId="0" borderId="0" applyProtection="0">
      <alignment vertical="center"/>
    </xf>
    <xf numFmtId="14" fontId="12" fillId="0" borderId="0" applyProtection="0">
      <alignment vertical="center"/>
    </xf>
    <xf numFmtId="164" fontId="14" fillId="12" borderId="0"/>
    <xf numFmtId="164" fontId="15" fillId="12" borderId="0"/>
    <xf numFmtId="164" fontId="16" fillId="12" borderId="0"/>
    <xf numFmtId="164" fontId="17" fillId="12" borderId="0"/>
    <xf numFmtId="164" fontId="17" fillId="12" borderId="0"/>
    <xf numFmtId="164" fontId="17" fillId="12" borderId="0"/>
    <xf numFmtId="164" fontId="17" fillId="12" borderId="0"/>
    <xf numFmtId="164" fontId="18" fillId="12" borderId="0"/>
    <xf numFmtId="164" fontId="19" fillId="12" borderId="0"/>
    <xf numFmtId="164" fontId="20" fillId="12" borderId="0"/>
    <xf numFmtId="164" fontId="20" fillId="12" borderId="0"/>
    <xf numFmtId="164" fontId="20" fillId="12" borderId="0"/>
    <xf numFmtId="164" fontId="20" fillId="12" borderId="0"/>
    <xf numFmtId="164" fontId="20" fillId="12" borderId="0"/>
    <xf numFmtId="164" fontId="20" fillId="12" borderId="0"/>
    <xf numFmtId="164" fontId="20" fillId="12" borderId="0"/>
    <xf numFmtId="164" fontId="20" fillId="12" borderId="0"/>
    <xf numFmtId="164" fontId="20" fillId="12" borderId="0"/>
    <xf numFmtId="164" fontId="20" fillId="12" borderId="0"/>
    <xf numFmtId="168" fontId="14" fillId="13" borderId="7"/>
    <xf numFmtId="168" fontId="14" fillId="13" borderId="7"/>
    <xf numFmtId="164" fontId="16" fillId="13" borderId="0"/>
    <xf numFmtId="164" fontId="14" fillId="0" borderId="0"/>
    <xf numFmtId="164" fontId="14" fillId="0" borderId="0"/>
    <xf numFmtId="164" fontId="14" fillId="0" borderId="0"/>
    <xf numFmtId="164" fontId="14" fillId="0" borderId="0"/>
    <xf numFmtId="164" fontId="14" fillId="12" borderId="0"/>
    <xf numFmtId="164" fontId="15" fillId="12" borderId="0"/>
    <xf numFmtId="164" fontId="16" fillId="12" borderId="0"/>
    <xf numFmtId="164" fontId="14" fillId="12" borderId="0"/>
    <xf numFmtId="164" fontId="14" fillId="12" borderId="0"/>
    <xf numFmtId="164" fontId="18" fillId="12" borderId="0"/>
    <xf numFmtId="164" fontId="19" fillId="12" borderId="0"/>
    <xf numFmtId="164" fontId="20" fillId="12" borderId="0"/>
    <xf numFmtId="164" fontId="20" fillId="12" borderId="0"/>
    <xf numFmtId="164" fontId="20" fillId="12" borderId="0"/>
    <xf numFmtId="164" fontId="20" fillId="12" borderId="0"/>
    <xf numFmtId="164" fontId="20" fillId="12" borderId="0"/>
    <xf numFmtId="164" fontId="20" fillId="12" borderId="0"/>
    <xf numFmtId="164" fontId="20" fillId="12" borderId="0"/>
    <xf numFmtId="164" fontId="20" fillId="12" borderId="0"/>
    <xf numFmtId="164" fontId="20" fillId="12" borderId="0"/>
    <xf numFmtId="164" fontId="20" fillId="12" borderId="0"/>
    <xf numFmtId="164" fontId="14" fillId="0" borderId="0"/>
    <xf numFmtId="164" fontId="21" fillId="0" borderId="0"/>
    <xf numFmtId="169" fontId="14" fillId="0" borderId="0"/>
    <xf numFmtId="169" fontId="14" fillId="0" borderId="0"/>
    <xf numFmtId="170" fontId="20" fillId="0" borderId="0"/>
    <xf numFmtId="49" fontId="20" fillId="0" borderId="0"/>
    <xf numFmtId="171" fontId="22" fillId="0" borderId="0">
      <protection locked="0"/>
    </xf>
    <xf numFmtId="172" fontId="20" fillId="0" borderId="0">
      <alignment horizontal="center"/>
    </xf>
    <xf numFmtId="173" fontId="20" fillId="0" borderId="0"/>
    <xf numFmtId="174" fontId="20" fillId="0" borderId="0"/>
    <xf numFmtId="175" fontId="20" fillId="0" borderId="0"/>
    <xf numFmtId="176" fontId="20" fillId="0" borderId="0"/>
    <xf numFmtId="177" fontId="23" fillId="0" borderId="0"/>
    <xf numFmtId="164" fontId="24" fillId="14" borderId="0" applyNumberFormat="0" applyBorder="0" applyAlignment="0" applyProtection="0"/>
    <xf numFmtId="164" fontId="24" fillId="15" borderId="0" applyNumberFormat="0" applyBorder="0" applyAlignment="0" applyProtection="0"/>
    <xf numFmtId="164" fontId="24" fillId="16" borderId="0" applyNumberFormat="0" applyBorder="0" applyAlignment="0" applyProtection="0"/>
    <xf numFmtId="164" fontId="24" fillId="17" borderId="0" applyNumberFormat="0" applyBorder="0" applyAlignment="0" applyProtection="0"/>
    <xf numFmtId="164" fontId="24" fillId="18" borderId="0" applyNumberFormat="0" applyBorder="0" applyAlignment="0" applyProtection="0"/>
    <xf numFmtId="164" fontId="24" fillId="19" borderId="0" applyNumberFormat="0" applyBorder="0" applyAlignment="0" applyProtection="0"/>
    <xf numFmtId="164" fontId="24" fillId="14" borderId="0" applyNumberFormat="0" applyBorder="0" applyAlignment="0" applyProtection="0"/>
    <xf numFmtId="164" fontId="24" fillId="15" borderId="0" applyNumberFormat="0" applyBorder="0" applyAlignment="0" applyProtection="0"/>
    <xf numFmtId="164" fontId="24" fillId="16" borderId="0" applyNumberFormat="0" applyBorder="0" applyAlignment="0" applyProtection="0"/>
    <xf numFmtId="164" fontId="24" fillId="17" borderId="0" applyNumberFormat="0" applyBorder="0" applyAlignment="0" applyProtection="0"/>
    <xf numFmtId="164" fontId="24" fillId="18" borderId="0" applyNumberFormat="0" applyBorder="0" applyAlignment="0" applyProtection="0"/>
    <xf numFmtId="164" fontId="24" fillId="19" borderId="0" applyNumberFormat="0" applyBorder="0" applyAlignment="0" applyProtection="0"/>
    <xf numFmtId="178" fontId="25" fillId="0" borderId="0"/>
    <xf numFmtId="179" fontId="23" fillId="0" borderId="0"/>
    <xf numFmtId="180" fontId="20" fillId="0" borderId="0"/>
    <xf numFmtId="181" fontId="20" fillId="0" borderId="0"/>
    <xf numFmtId="164" fontId="24" fillId="20" borderId="0" applyNumberFormat="0" applyBorder="0" applyAlignment="0" applyProtection="0"/>
    <xf numFmtId="164" fontId="24" fillId="21" borderId="0" applyNumberFormat="0" applyBorder="0" applyAlignment="0" applyProtection="0"/>
    <xf numFmtId="164" fontId="24" fillId="22" borderId="0" applyNumberFormat="0" applyBorder="0" applyAlignment="0" applyProtection="0"/>
    <xf numFmtId="164" fontId="24" fillId="17" borderId="0" applyNumberFormat="0" applyBorder="0" applyAlignment="0" applyProtection="0"/>
    <xf numFmtId="164" fontId="24" fillId="20" borderId="0" applyNumberFormat="0" applyBorder="0" applyAlignment="0" applyProtection="0"/>
    <xf numFmtId="164" fontId="24" fillId="23" borderId="0" applyNumberFormat="0" applyBorder="0" applyAlignment="0" applyProtection="0"/>
    <xf numFmtId="164" fontId="24" fillId="20" borderId="0" applyNumberFormat="0" applyBorder="0" applyAlignment="0" applyProtection="0"/>
    <xf numFmtId="164" fontId="24" fillId="21" borderId="0" applyNumberFormat="0" applyBorder="0" applyAlignment="0" applyProtection="0"/>
    <xf numFmtId="164" fontId="24" fillId="22" borderId="0" applyNumberFormat="0" applyBorder="0" applyAlignment="0" applyProtection="0"/>
    <xf numFmtId="164" fontId="24" fillId="17" borderId="0" applyNumberFormat="0" applyBorder="0" applyAlignment="0" applyProtection="0"/>
    <xf numFmtId="164" fontId="24" fillId="20" borderId="0" applyNumberFormat="0" applyBorder="0" applyAlignment="0" applyProtection="0"/>
    <xf numFmtId="164" fontId="24" fillId="23" borderId="0" applyNumberFormat="0" applyBorder="0" applyAlignment="0" applyProtection="0"/>
    <xf numFmtId="182" fontId="20" fillId="0" borderId="0"/>
    <xf numFmtId="183" fontId="23" fillId="0" borderId="0"/>
    <xf numFmtId="164" fontId="26" fillId="24" borderId="0" applyNumberFormat="0" applyBorder="0" applyAlignment="0" applyProtection="0"/>
    <xf numFmtId="164" fontId="26" fillId="21" borderId="0" applyNumberFormat="0" applyBorder="0" applyAlignment="0" applyProtection="0"/>
    <xf numFmtId="164" fontId="26" fillId="22" borderId="0" applyNumberFormat="0" applyBorder="0" applyAlignment="0" applyProtection="0"/>
    <xf numFmtId="164" fontId="26" fillId="25" borderId="0" applyNumberFormat="0" applyBorder="0" applyAlignment="0" applyProtection="0"/>
    <xf numFmtId="164" fontId="26" fillId="26" borderId="0" applyNumberFormat="0" applyBorder="0" applyAlignment="0" applyProtection="0"/>
    <xf numFmtId="164" fontId="26" fillId="27" borderId="0" applyNumberFormat="0" applyBorder="0" applyAlignment="0" applyProtection="0"/>
    <xf numFmtId="164" fontId="26" fillId="24" borderId="0" applyNumberFormat="0" applyBorder="0" applyAlignment="0" applyProtection="0"/>
    <xf numFmtId="164" fontId="26" fillId="21" borderId="0" applyNumberFormat="0" applyBorder="0" applyAlignment="0" applyProtection="0"/>
    <xf numFmtId="164" fontId="26" fillId="22" borderId="0" applyNumberFormat="0" applyBorder="0" applyAlignment="0" applyProtection="0"/>
    <xf numFmtId="164" fontId="26" fillId="25" borderId="0" applyNumberFormat="0" applyBorder="0" applyAlignment="0" applyProtection="0"/>
    <xf numFmtId="164" fontId="26" fillId="26" borderId="0" applyNumberFormat="0" applyBorder="0" applyAlignment="0" applyProtection="0"/>
    <xf numFmtId="164" fontId="26" fillId="27" borderId="0" applyNumberFormat="0" applyBorder="0" applyAlignment="0" applyProtection="0"/>
    <xf numFmtId="184" fontId="20" fillId="0" borderId="0">
      <alignment horizontal="center"/>
    </xf>
    <xf numFmtId="185" fontId="20" fillId="0" borderId="0">
      <alignment horizontal="center"/>
    </xf>
    <xf numFmtId="186" fontId="20" fillId="0" borderId="0">
      <alignment horizontal="center"/>
    </xf>
    <xf numFmtId="187" fontId="20" fillId="0" borderId="0">
      <alignment horizontal="center"/>
    </xf>
    <xf numFmtId="188" fontId="20" fillId="0" borderId="0">
      <alignment horizontal="center"/>
    </xf>
    <xf numFmtId="164" fontId="11" fillId="6" borderId="0" applyNumberFormat="0" applyBorder="0" applyAlignment="0" applyProtection="0"/>
    <xf numFmtId="164" fontId="11" fillId="7" borderId="0" applyNumberFormat="0" applyBorder="0" applyAlignment="0" applyProtection="0"/>
    <xf numFmtId="164" fontId="11" fillId="8" borderId="0" applyNumberFormat="0" applyBorder="0" applyAlignment="0" applyProtection="0"/>
    <xf numFmtId="164" fontId="11" fillId="9" borderId="0" applyNumberFormat="0" applyBorder="0" applyAlignment="0" applyProtection="0"/>
    <xf numFmtId="164" fontId="11" fillId="10" borderId="0" applyNumberFormat="0" applyBorder="0" applyAlignment="0" applyProtection="0"/>
    <xf numFmtId="164" fontId="11" fillId="11" borderId="0" applyNumberFormat="0" applyBorder="0" applyAlignment="0" applyProtection="0"/>
    <xf numFmtId="164" fontId="8" fillId="3" borderId="0" applyNumberFormat="0" applyBorder="0" applyAlignment="0" applyProtection="0"/>
    <xf numFmtId="164" fontId="27" fillId="0" borderId="8" applyNumberFormat="0" applyFill="0" applyAlignment="0" applyProtection="0"/>
    <xf numFmtId="164" fontId="10" fillId="4" borderId="5" applyNumberFormat="0" applyAlignment="0" applyProtection="0"/>
    <xf numFmtId="164" fontId="28" fillId="15" borderId="0" applyNumberFormat="0" applyBorder="0" applyAlignment="0" applyProtection="0"/>
    <xf numFmtId="164" fontId="28" fillId="15" borderId="0" applyNumberFormat="0" applyBorder="0" applyAlignment="0" applyProtection="0"/>
    <xf numFmtId="164" fontId="29" fillId="0" borderId="0" applyFont="0" applyFill="0" applyBorder="0" applyAlignment="0" applyProtection="0">
      <alignment horizontal="right"/>
    </xf>
    <xf numFmtId="164" fontId="29" fillId="0" borderId="0" applyFont="0" applyFill="0" applyBorder="0" applyAlignment="0" applyProtection="0"/>
    <xf numFmtId="164" fontId="29" fillId="0" borderId="0" applyFont="0" applyFill="0" applyBorder="0" applyAlignment="0" applyProtection="0">
      <alignment horizontal="right"/>
    </xf>
    <xf numFmtId="164" fontId="29" fillId="0" borderId="0" applyFont="0" applyFill="0" applyBorder="0" applyAlignment="0" applyProtection="0">
      <alignment horizontal="right"/>
    </xf>
    <xf numFmtId="164" fontId="29" fillId="0" borderId="0" applyFont="0" applyFill="0" applyBorder="0" applyAlignment="0" applyProtection="0">
      <alignment horizontal="right"/>
    </xf>
    <xf numFmtId="164" fontId="29" fillId="0" borderId="0" applyFont="0" applyFill="0" applyBorder="0" applyAlignment="0" applyProtection="0"/>
    <xf numFmtId="164" fontId="29" fillId="0" borderId="9" applyNumberFormat="0" applyFont="0" applyFill="0" applyAlignment="0" applyProtection="0"/>
    <xf numFmtId="171" fontId="30" fillId="0" borderId="0">
      <protection locked="0"/>
    </xf>
    <xf numFmtId="171" fontId="30" fillId="0" borderId="0">
      <protection locked="0"/>
    </xf>
    <xf numFmtId="171" fontId="22" fillId="0" borderId="0">
      <protection locked="0"/>
    </xf>
    <xf numFmtId="171" fontId="22" fillId="0" borderId="0">
      <protection locked="0"/>
    </xf>
    <xf numFmtId="171" fontId="31" fillId="0" borderId="0">
      <protection locked="0"/>
    </xf>
    <xf numFmtId="164" fontId="14" fillId="0" borderId="0" applyFont="0" applyFill="0" applyBorder="0" applyAlignment="0" applyProtection="0"/>
    <xf numFmtId="164" fontId="32" fillId="0" borderId="0" applyFill="0" applyBorder="0" applyProtection="0">
      <alignment horizontal="left"/>
    </xf>
    <xf numFmtId="164" fontId="20" fillId="0" borderId="10"/>
    <xf numFmtId="164" fontId="7" fillId="2" borderId="0" applyNumberFormat="0" applyBorder="0" applyAlignment="0" applyProtection="0"/>
    <xf numFmtId="164" fontId="29" fillId="0" borderId="0" applyFont="0" applyFill="0" applyBorder="0" applyAlignment="0" applyProtection="0">
      <alignment horizontal="right"/>
    </xf>
    <xf numFmtId="164" fontId="33" fillId="0" borderId="0" applyProtection="0">
      <alignment horizontal="right"/>
    </xf>
    <xf numFmtId="164" fontId="4" fillId="0" borderId="1" applyNumberFormat="0" applyFill="0" applyAlignment="0" applyProtection="0"/>
    <xf numFmtId="164" fontId="5" fillId="0" borderId="2" applyNumberFormat="0" applyFill="0" applyAlignment="0" applyProtection="0"/>
    <xf numFmtId="164" fontId="6" fillId="0" borderId="3" applyNumberFormat="0" applyFill="0" applyAlignment="0" applyProtection="0"/>
    <xf numFmtId="164" fontId="6" fillId="0" borderId="0" applyNumberFormat="0" applyFill="0" applyBorder="0" applyAlignment="0" applyProtection="0"/>
    <xf numFmtId="165" fontId="34" fillId="0" borderId="0"/>
    <xf numFmtId="166" fontId="35" fillId="0" borderId="0"/>
    <xf numFmtId="164" fontId="36" fillId="0" borderId="0" applyNumberFormat="0" applyFill="0" applyBorder="0" applyAlignment="0" applyProtection="0">
      <alignment vertical="top"/>
      <protection locked="0"/>
    </xf>
    <xf numFmtId="164" fontId="37" fillId="0" borderId="0" applyNumberFormat="0" applyFill="0" applyBorder="0" applyAlignment="0" applyProtection="0">
      <alignment vertical="top"/>
      <protection locked="0"/>
    </xf>
    <xf numFmtId="166" fontId="35" fillId="13" borderId="11"/>
    <xf numFmtId="164" fontId="38" fillId="28" borderId="12" applyNumberFormat="0" applyAlignment="0" applyProtection="0"/>
    <xf numFmtId="164" fontId="38" fillId="28" borderId="12" applyNumberFormat="0" applyAlignment="0" applyProtection="0"/>
    <xf numFmtId="164" fontId="9" fillId="0" borderId="4" applyNumberFormat="0" applyFill="0" applyAlignment="0" applyProtection="0"/>
    <xf numFmtId="164" fontId="39" fillId="0" borderId="0">
      <alignment vertical="top"/>
    </xf>
    <xf numFmtId="164" fontId="39" fillId="0" borderId="0">
      <alignment vertical="top"/>
    </xf>
    <xf numFmtId="164" fontId="21" fillId="0" borderId="0"/>
    <xf numFmtId="171" fontId="22" fillId="0" borderId="0">
      <protection locked="0"/>
    </xf>
    <xf numFmtId="170" fontId="23" fillId="0" borderId="0"/>
    <xf numFmtId="164" fontId="29" fillId="0" borderId="0" applyFont="0" applyFill="0" applyBorder="0" applyAlignment="0" applyProtection="0">
      <alignment horizontal="right"/>
    </xf>
    <xf numFmtId="164" fontId="40" fillId="0" borderId="0" applyNumberFormat="0" applyFill="0" applyBorder="0" applyAlignment="0" applyProtection="0"/>
    <xf numFmtId="164" fontId="41" fillId="29" borderId="0" applyNumberFormat="0" applyBorder="0" applyAlignment="0" applyProtection="0"/>
    <xf numFmtId="171" fontId="30" fillId="0" borderId="0">
      <protection locked="0"/>
    </xf>
    <xf numFmtId="164" fontId="1" fillId="0" borderId="0"/>
    <xf numFmtId="164" fontId="39" fillId="0" borderId="0"/>
    <xf numFmtId="164" fontId="42" fillId="0" borderId="0"/>
    <xf numFmtId="164" fontId="14" fillId="0" borderId="0"/>
    <xf numFmtId="164" fontId="14" fillId="30" borderId="13" applyNumberFormat="0" applyFont="0" applyAlignment="0" applyProtection="0"/>
    <xf numFmtId="164" fontId="3" fillId="5" borderId="6" applyNumberFormat="0" applyFont="0" applyAlignment="0" applyProtection="0"/>
    <xf numFmtId="49" fontId="23" fillId="0" borderId="0"/>
    <xf numFmtId="1" fontId="43" fillId="0" borderId="0" applyProtection="0">
      <alignment horizontal="right" vertical="center"/>
    </xf>
    <xf numFmtId="164" fontId="44" fillId="0" borderId="14" applyNumberFormat="0" applyFill="0" applyAlignment="0" applyProtection="0"/>
    <xf numFmtId="164" fontId="44" fillId="0" borderId="14" applyNumberFormat="0" applyFill="0" applyAlignment="0" applyProtection="0"/>
    <xf numFmtId="164" fontId="45" fillId="0" borderId="15">
      <alignment vertical="center"/>
    </xf>
    <xf numFmtId="164" fontId="39" fillId="31" borderId="0" applyNumberFormat="0" applyFont="0" applyBorder="0" applyAlignment="0" applyProtection="0">
      <alignment vertical="top"/>
    </xf>
    <xf numFmtId="164" fontId="39" fillId="0" borderId="0" applyNumberFormat="0" applyFont="0" applyFill="0" applyBorder="0" applyAlignment="0" applyProtection="0">
      <alignment vertical="top"/>
    </xf>
    <xf numFmtId="164" fontId="46" fillId="0" borderId="0" applyNumberFormat="0" applyFill="0" applyBorder="0" applyAlignment="0" applyProtection="0">
      <alignment vertical="top"/>
      <protection locked="0"/>
    </xf>
    <xf numFmtId="164" fontId="47" fillId="0" borderId="0" applyNumberFormat="0" applyFill="0" applyBorder="0" applyAlignment="0" applyProtection="0">
      <alignment vertical="top"/>
      <protection locked="0"/>
    </xf>
    <xf numFmtId="164" fontId="48" fillId="16" borderId="0" applyNumberFormat="0" applyBorder="0" applyAlignment="0" applyProtection="0"/>
    <xf numFmtId="164" fontId="48" fillId="16" borderId="0" applyNumberFormat="0" applyBorder="0" applyAlignment="0" applyProtection="0"/>
    <xf numFmtId="164" fontId="3" fillId="0" borderId="0"/>
    <xf numFmtId="164" fontId="3" fillId="0" borderId="0"/>
    <xf numFmtId="164" fontId="3" fillId="0" borderId="0"/>
    <xf numFmtId="0" fontId="3" fillId="0" borderId="0"/>
    <xf numFmtId="3" fontId="14" fillId="0" borderId="0"/>
    <xf numFmtId="164" fontId="39" fillId="0" borderId="0">
      <alignment vertical="top"/>
    </xf>
    <xf numFmtId="164" fontId="49" fillId="0" borderId="0"/>
    <xf numFmtId="164" fontId="50" fillId="0" borderId="0" applyBorder="0" applyProtection="0">
      <alignment vertical="center"/>
    </xf>
    <xf numFmtId="164" fontId="50" fillId="0" borderId="16" applyBorder="0" applyProtection="0">
      <alignment horizontal="right" vertical="center"/>
    </xf>
    <xf numFmtId="164" fontId="51" fillId="32" borderId="0" applyBorder="0" applyProtection="0">
      <alignment horizontal="centerContinuous" vertical="center"/>
    </xf>
    <xf numFmtId="164" fontId="51" fillId="33" borderId="16" applyBorder="0" applyProtection="0">
      <alignment horizontal="centerContinuous" vertical="center"/>
    </xf>
    <xf numFmtId="164" fontId="52" fillId="0" borderId="0"/>
    <xf numFmtId="164" fontId="42" fillId="0" borderId="0"/>
    <xf numFmtId="164" fontId="53" fillId="0" borderId="0" applyFill="0" applyBorder="0" applyProtection="0">
      <alignment horizontal="left"/>
    </xf>
    <xf numFmtId="164" fontId="32" fillId="0" borderId="17" applyFill="0" applyBorder="0" applyProtection="0">
      <alignment horizontal="left" vertical="top"/>
    </xf>
    <xf numFmtId="164" fontId="54" fillId="0" borderId="0">
      <alignment horizontal="centerContinuous"/>
    </xf>
    <xf numFmtId="164" fontId="55" fillId="0" borderId="0"/>
    <xf numFmtId="164" fontId="56" fillId="0" borderId="0"/>
    <xf numFmtId="164" fontId="57" fillId="0" borderId="0" applyNumberFormat="0" applyFill="0" applyBorder="0" applyAlignment="0" applyProtection="0"/>
    <xf numFmtId="164" fontId="57" fillId="0" borderId="0" applyNumberFormat="0" applyFill="0" applyBorder="0" applyAlignment="0" applyProtection="0"/>
    <xf numFmtId="164" fontId="2" fillId="0" borderId="0" applyNumberFormat="0" applyFill="0" applyBorder="0" applyAlignment="0" applyProtection="0"/>
    <xf numFmtId="164" fontId="58" fillId="0" borderId="0">
      <alignment horizontal="fill"/>
    </xf>
    <xf numFmtId="164" fontId="59" fillId="0" borderId="0" applyNumberFormat="0" applyFill="0" applyBorder="0" applyAlignment="0" applyProtection="0"/>
    <xf numFmtId="164" fontId="59" fillId="0" borderId="0" applyNumberFormat="0" applyFill="0" applyBorder="0" applyAlignment="0" applyProtection="0"/>
    <xf numFmtId="164" fontId="60" fillId="0" borderId="16" applyBorder="0" applyProtection="0">
      <alignment horizontal="right"/>
    </xf>
    <xf numFmtId="164" fontId="26" fillId="34" borderId="0" applyNumberFormat="0" applyBorder="0" applyAlignment="0" applyProtection="0"/>
    <xf numFmtId="164" fontId="26" fillId="35" borderId="0" applyNumberFormat="0" applyBorder="0" applyAlignment="0" applyProtection="0"/>
    <xf numFmtId="164" fontId="26" fillId="36" borderId="0" applyNumberFormat="0" applyBorder="0" applyAlignment="0" applyProtection="0"/>
    <xf numFmtId="164" fontId="26" fillId="25" borderId="0" applyNumberFormat="0" applyBorder="0" applyAlignment="0" applyProtection="0"/>
    <xf numFmtId="164" fontId="26" fillId="26" borderId="0" applyNumberFormat="0" applyBorder="0" applyAlignment="0" applyProtection="0"/>
    <xf numFmtId="164" fontId="26" fillId="37" borderId="0" applyNumberFormat="0" applyBorder="0" applyAlignment="0" applyProtection="0"/>
    <xf numFmtId="164" fontId="26" fillId="34" borderId="0" applyNumberFormat="0" applyBorder="0" applyAlignment="0" applyProtection="0"/>
    <xf numFmtId="164" fontId="26" fillId="35" borderId="0" applyNumberFormat="0" applyBorder="0" applyAlignment="0" applyProtection="0"/>
    <xf numFmtId="164" fontId="26" fillId="36" borderId="0" applyNumberFormat="0" applyBorder="0" applyAlignment="0" applyProtection="0"/>
    <xf numFmtId="164" fontId="26" fillId="25" borderId="0" applyNumberFormat="0" applyBorder="0" applyAlignment="0" applyProtection="0"/>
    <xf numFmtId="164" fontId="26" fillId="26" borderId="0" applyNumberFormat="0" applyBorder="0" applyAlignment="0" applyProtection="0"/>
    <xf numFmtId="164" fontId="26" fillId="37" borderId="0" applyNumberFormat="0" applyBorder="0" applyAlignment="0" applyProtection="0"/>
    <xf numFmtId="164" fontId="15" fillId="0" borderId="0" applyNumberFormat="0" applyFill="0" applyAlignment="0" applyProtection="0"/>
    <xf numFmtId="164" fontId="13" fillId="0" borderId="0"/>
    <xf numFmtId="164" fontId="61" fillId="0" borderId="0" applyNumberFormat="0" applyFill="0" applyBorder="0" applyAlignment="0" applyProtection="0"/>
    <xf numFmtId="164" fontId="62" fillId="34" borderId="0" applyNumberFormat="0" applyBorder="0" applyAlignment="0" applyProtection="0"/>
    <xf numFmtId="164" fontId="62" fillId="35" borderId="0" applyNumberFormat="0" applyBorder="0" applyAlignment="0" applyProtection="0"/>
    <xf numFmtId="164" fontId="62" fillId="36" borderId="0" applyNumberFormat="0" applyBorder="0" applyAlignment="0" applyProtection="0"/>
    <xf numFmtId="164" fontId="62" fillId="25" borderId="0" applyNumberFormat="0" applyBorder="0" applyAlignment="0" applyProtection="0"/>
    <xf numFmtId="164" fontId="62" fillId="26" borderId="0" applyNumberFormat="0" applyBorder="0" applyAlignment="0" applyProtection="0"/>
    <xf numFmtId="164" fontId="62" fillId="37" borderId="0" applyNumberFormat="0" applyBorder="0" applyAlignment="0" applyProtection="0"/>
    <xf numFmtId="164" fontId="63" fillId="15" borderId="0" applyNumberFormat="0" applyBorder="0" applyAlignment="0" applyProtection="0"/>
    <xf numFmtId="164" fontId="64" fillId="28" borderId="12" applyNumberFormat="0" applyAlignment="0" applyProtection="0"/>
    <xf numFmtId="164" fontId="65" fillId="16" borderId="0" applyNumberFormat="0" applyBorder="0" applyAlignment="0" applyProtection="0"/>
    <xf numFmtId="164" fontId="66" fillId="0" borderId="18" applyNumberFormat="0" applyFill="0" applyAlignment="0" applyProtection="0"/>
    <xf numFmtId="164" fontId="67" fillId="0" borderId="19" applyNumberFormat="0" applyFill="0" applyAlignment="0" applyProtection="0"/>
    <xf numFmtId="164" fontId="68" fillId="0" borderId="20" applyNumberFormat="0" applyFill="0" applyAlignment="0" applyProtection="0"/>
    <xf numFmtId="164" fontId="68" fillId="0" borderId="0" applyNumberFormat="0" applyFill="0" applyBorder="0" applyAlignment="0" applyProtection="0"/>
    <xf numFmtId="164" fontId="69" fillId="0" borderId="14" applyNumberFormat="0" applyFill="0" applyAlignment="0" applyProtection="0"/>
    <xf numFmtId="0" fontId="14" fillId="0" borderId="0"/>
    <xf numFmtId="0" fontId="3" fillId="0" borderId="0"/>
    <xf numFmtId="164" fontId="3" fillId="5" borderId="6" applyNumberFormat="0" applyFont="0" applyAlignment="0" applyProtection="0"/>
    <xf numFmtId="9" fontId="3" fillId="0" borderId="0" applyFont="0" applyFill="0" applyBorder="0" applyAlignment="0" applyProtection="0"/>
    <xf numFmtId="164" fontId="3" fillId="0" borderId="0"/>
    <xf numFmtId="164" fontId="3" fillId="0" borderId="0"/>
    <xf numFmtId="164" fontId="1" fillId="0" borderId="0"/>
    <xf numFmtId="164" fontId="70" fillId="0" borderId="0" applyNumberForma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0" fontId="39" fillId="40" borderId="0" applyNumberFormat="0" applyBorder="0" applyAlignment="0" applyProtection="0"/>
    <xf numFmtId="0" fontId="39" fillId="19" borderId="0" applyNumberFormat="0" applyBorder="0" applyAlignment="0" applyProtection="0"/>
    <xf numFmtId="0" fontId="39" fillId="30" borderId="0" applyNumberFormat="0" applyBorder="0" applyAlignment="0" applyProtection="0"/>
    <xf numFmtId="0" fontId="39" fillId="40" borderId="0" applyNumberFormat="0" applyBorder="0" applyAlignment="0" applyProtection="0"/>
    <xf numFmtId="0" fontId="39" fillId="18" borderId="0" applyNumberFormat="0" applyBorder="0" applyAlignment="0" applyProtection="0"/>
    <xf numFmtId="0" fontId="39" fillId="19" borderId="0" applyNumberFormat="0" applyBorder="0" applyAlignment="0" applyProtection="0"/>
    <xf numFmtId="0" fontId="39" fillId="41" borderId="0" applyNumberFormat="0" applyBorder="0" applyAlignment="0" applyProtection="0"/>
    <xf numFmtId="0" fontId="39" fillId="21" borderId="0" applyNumberFormat="0" applyBorder="0" applyAlignment="0" applyProtection="0"/>
    <xf numFmtId="0" fontId="39" fillId="29" borderId="0" applyNumberFormat="0" applyBorder="0" applyAlignment="0" applyProtection="0"/>
    <xf numFmtId="0" fontId="39" fillId="41" borderId="0" applyNumberFormat="0" applyBorder="0" applyAlignment="0" applyProtection="0"/>
    <xf numFmtId="0" fontId="39" fillId="42" borderId="0" applyNumberFormat="0" applyBorder="0" applyAlignment="0" applyProtection="0"/>
    <xf numFmtId="0" fontId="39" fillId="19" borderId="0" applyNumberFormat="0" applyBorder="0" applyAlignment="0" applyProtection="0"/>
    <xf numFmtId="0" fontId="83" fillId="42" borderId="0" applyNumberFormat="0" applyBorder="0" applyAlignment="0" applyProtection="0"/>
    <xf numFmtId="0" fontId="83" fillId="43" borderId="0" applyNumberFormat="0" applyBorder="0" applyAlignment="0" applyProtection="0"/>
    <xf numFmtId="0" fontId="83" fillId="29" borderId="0" applyNumberFormat="0" applyBorder="0" applyAlignment="0" applyProtection="0"/>
    <xf numFmtId="0" fontId="83" fillId="41" borderId="0" applyNumberFormat="0" applyBorder="0" applyAlignment="0" applyProtection="0"/>
    <xf numFmtId="0" fontId="83" fillId="42" borderId="0" applyNumberFormat="0" applyBorder="0" applyAlignment="0" applyProtection="0"/>
    <xf numFmtId="0" fontId="83" fillId="19" borderId="0" applyNumberFormat="0" applyBorder="0" applyAlignment="0" applyProtection="0"/>
    <xf numFmtId="0" fontId="65" fillId="16" borderId="0" applyNumberFormat="0" applyBorder="0" applyAlignment="0" applyProtection="0"/>
    <xf numFmtId="0" fontId="84" fillId="16" borderId="0" applyNumberFormat="0" applyBorder="0" applyAlignment="0" applyProtection="0"/>
    <xf numFmtId="0" fontId="85" fillId="14" borderId="21" applyNumberFormat="0" applyAlignment="0" applyProtection="0"/>
    <xf numFmtId="0" fontId="86" fillId="40" borderId="21" applyNumberFormat="0" applyAlignment="0" applyProtection="0"/>
    <xf numFmtId="0" fontId="64" fillId="28" borderId="12" applyNumberFormat="0" applyAlignment="0" applyProtection="0"/>
    <xf numFmtId="0" fontId="69" fillId="0" borderId="14" applyNumberFormat="0" applyFill="0" applyAlignment="0" applyProtection="0"/>
    <xf numFmtId="0" fontId="87" fillId="44" borderId="22" applyNumberFormat="0" applyAlignment="0" applyProtection="0"/>
    <xf numFmtId="0" fontId="88" fillId="0" borderId="14" applyNumberFormat="0" applyFill="0" applyAlignment="0" applyProtection="0"/>
    <xf numFmtId="0" fontId="89" fillId="0" borderId="0" applyNumberFormat="0" applyFill="0" applyBorder="0" applyAlignment="0" applyProtection="0"/>
    <xf numFmtId="0" fontId="83" fillId="26" borderId="0" applyNumberFormat="0" applyBorder="0" applyAlignment="0" applyProtection="0"/>
    <xf numFmtId="0" fontId="83" fillId="43" borderId="0" applyNumberFormat="0" applyBorder="0" applyAlignment="0" applyProtection="0"/>
    <xf numFmtId="0" fontId="83" fillId="34" borderId="0" applyNumberFormat="0" applyBorder="0" applyAlignment="0" applyProtection="0"/>
    <xf numFmtId="0" fontId="83" fillId="45" borderId="0" applyNumberFormat="0" applyBorder="0" applyAlignment="0" applyProtection="0"/>
    <xf numFmtId="0" fontId="83" fillId="26" borderId="0" applyNumberFormat="0" applyBorder="0" applyAlignment="0" applyProtection="0"/>
    <xf numFmtId="0" fontId="83" fillId="43" borderId="0" applyNumberFormat="0" applyBorder="0" applyAlignment="0" applyProtection="0"/>
    <xf numFmtId="0" fontId="90" fillId="19" borderId="21" applyNumberFormat="0" applyAlignment="0" applyProtection="0"/>
    <xf numFmtId="0" fontId="63" fillId="15" borderId="0" applyNumberFormat="0" applyBorder="0" applyAlignment="0" applyProtection="0"/>
    <xf numFmtId="0" fontId="91" fillId="15" borderId="0" applyNumberFormat="0" applyBorder="0" applyAlignment="0" applyProtection="0"/>
    <xf numFmtId="43" fontId="14" fillId="0" borderId="0" applyFont="0" applyFill="0" applyBorder="0" applyAlignment="0" applyProtection="0"/>
    <xf numFmtId="190" fontId="14" fillId="0" borderId="0" applyFont="0" applyFill="0" applyBorder="0" applyAlignment="0" applyProtection="0"/>
    <xf numFmtId="0" fontId="92" fillId="29" borderId="0" applyNumberFormat="0" applyBorder="0" applyAlignment="0" applyProtection="0"/>
    <xf numFmtId="0" fontId="12" fillId="0" borderId="0"/>
    <xf numFmtId="0" fontId="3" fillId="0" borderId="0"/>
    <xf numFmtId="0" fontId="3" fillId="0" borderId="0"/>
    <xf numFmtId="0" fontId="3" fillId="0" borderId="0"/>
    <xf numFmtId="0" fontId="3" fillId="0" borderId="0"/>
    <xf numFmtId="0" fontId="1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 fillId="0" borderId="0"/>
    <xf numFmtId="0" fontId="1" fillId="0" borderId="0"/>
    <xf numFmtId="0" fontId="14" fillId="0" borderId="0"/>
    <xf numFmtId="0" fontId="14" fillId="0" borderId="0"/>
    <xf numFmtId="0" fontId="93" fillId="0" borderId="0"/>
    <xf numFmtId="0" fontId="3" fillId="0" borderId="0"/>
    <xf numFmtId="0" fontId="1" fillId="0" borderId="0"/>
    <xf numFmtId="0" fontId="1" fillId="0" borderId="0"/>
    <xf numFmtId="0" fontId="14" fillId="0" borderId="0"/>
    <xf numFmtId="0" fontId="3" fillId="0" borderId="0"/>
    <xf numFmtId="0" fontId="14" fillId="0" borderId="0"/>
    <xf numFmtId="0" fontId="14" fillId="0" borderId="0"/>
    <xf numFmtId="0" fontId="14" fillId="0" borderId="0"/>
    <xf numFmtId="0" fontId="14" fillId="0" borderId="0"/>
    <xf numFmtId="0" fontId="14" fillId="0" borderId="0"/>
    <xf numFmtId="0" fontId="14" fillId="0" borderId="0"/>
    <xf numFmtId="0" fontId="94" fillId="0" borderId="0"/>
    <xf numFmtId="0" fontId="94" fillId="0" borderId="0"/>
    <xf numFmtId="0" fontId="3" fillId="0" borderId="0"/>
    <xf numFmtId="0" fontId="3" fillId="0" borderId="0"/>
    <xf numFmtId="0" fontId="3" fillId="0" borderId="0"/>
    <xf numFmtId="0" fontId="3" fillId="0" borderId="0"/>
    <xf numFmtId="0" fontId="3" fillId="0" borderId="0"/>
    <xf numFmtId="0" fontId="14" fillId="0" borderId="0"/>
    <xf numFmtId="0" fontId="3" fillId="0" borderId="0"/>
    <xf numFmtId="0" fontId="3" fillId="0" borderId="0"/>
    <xf numFmtId="0" fontId="3" fillId="0" borderId="0"/>
    <xf numFmtId="0" fontId="3" fillId="0" borderId="0"/>
    <xf numFmtId="0" fontId="14" fillId="30" borderId="13" applyNumberFormat="0" applyFont="0" applyAlignment="0" applyProtection="0"/>
    <xf numFmtId="0" fontId="14" fillId="30" borderId="13" applyNumberFormat="0" applyFont="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4"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95" fillId="14" borderId="23" applyNumberFormat="0" applyAlignment="0" applyProtection="0"/>
    <xf numFmtId="0" fontId="96" fillId="40" borderId="24" applyNumberFormat="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100" fillId="0" borderId="0" applyNumberFormat="0" applyFill="0" applyBorder="0" applyAlignment="0" applyProtection="0"/>
    <xf numFmtId="0" fontId="101" fillId="0" borderId="0" applyNumberFormat="0" applyFill="0" applyBorder="0" applyAlignment="0" applyProtection="0"/>
    <xf numFmtId="0" fontId="102" fillId="0" borderId="25" applyNumberFormat="0" applyFill="0" applyAlignment="0" applyProtection="0"/>
    <xf numFmtId="0" fontId="103" fillId="0" borderId="26" applyNumberFormat="0" applyFill="0" applyAlignment="0" applyProtection="0"/>
    <xf numFmtId="0" fontId="104" fillId="0" borderId="27" applyNumberFormat="0" applyFill="0" applyAlignment="0" applyProtection="0"/>
    <xf numFmtId="0" fontId="104" fillId="0" borderId="0" applyNumberFormat="0" applyFill="0" applyBorder="0" applyAlignment="0" applyProtection="0"/>
    <xf numFmtId="0" fontId="105" fillId="0" borderId="25" applyNumberFormat="0" applyFill="0" applyAlignment="0" applyProtection="0"/>
    <xf numFmtId="0" fontId="106" fillId="0" borderId="28" applyNumberFormat="0" applyFill="0" applyAlignment="0" applyProtection="0"/>
    <xf numFmtId="0" fontId="89" fillId="0" borderId="29" applyNumberFormat="0" applyFill="0" applyAlignment="0" applyProtection="0"/>
    <xf numFmtId="0" fontId="107" fillId="0" borderId="0" applyNumberFormat="0" applyFill="0" applyBorder="0" applyAlignment="0" applyProtection="0"/>
    <xf numFmtId="0" fontId="108" fillId="0" borderId="30" applyNumberFormat="0" applyFill="0" applyAlignment="0" applyProtection="0"/>
    <xf numFmtId="164" fontId="1" fillId="0" borderId="0"/>
    <xf numFmtId="0" fontId="1" fillId="0" borderId="0"/>
    <xf numFmtId="164" fontId="1" fillId="0" borderId="0"/>
    <xf numFmtId="0" fontId="1" fillId="0" borderId="0"/>
    <xf numFmtId="16" fontId="12" fillId="0" borderId="0" applyProtection="0">
      <alignment vertical="center"/>
    </xf>
    <xf numFmtId="16" fontId="12" fillId="0" borderId="0" applyProtection="0">
      <alignment vertical="center"/>
    </xf>
    <xf numFmtId="0" fontId="20" fillId="0" borderId="0"/>
    <xf numFmtId="0" fontId="23" fillId="0" borderId="0"/>
  </cellStyleXfs>
  <cellXfs count="331">
    <xf numFmtId="0" fontId="0" fillId="0" borderId="0" xfId="0"/>
    <xf numFmtId="0" fontId="82" fillId="0" borderId="0" xfId="161" applyNumberFormat="1" applyFont="1" applyAlignment="1">
      <alignment horizontal="left" indent="1"/>
    </xf>
    <xf numFmtId="0" fontId="114" fillId="46" borderId="0" xfId="161" applyNumberFormat="1" applyFont="1" applyFill="1" applyAlignment="1">
      <alignment horizontal="left" vertical="center"/>
    </xf>
    <xf numFmtId="0" fontId="115" fillId="38" borderId="0" xfId="161" applyNumberFormat="1" applyFont="1" applyFill="1" applyAlignment="1">
      <alignment horizontal="left" vertical="center"/>
    </xf>
    <xf numFmtId="0" fontId="112" fillId="46" borderId="0" xfId="161" applyNumberFormat="1" applyFont="1" applyFill="1"/>
    <xf numFmtId="0" fontId="112" fillId="38" borderId="0" xfId="161" applyNumberFormat="1" applyFont="1" applyFill="1"/>
    <xf numFmtId="0" fontId="80" fillId="0" borderId="0" xfId="161" applyNumberFormat="1" applyFont="1"/>
    <xf numFmtId="0" fontId="82" fillId="0" borderId="0" xfId="161" applyNumberFormat="1" applyFont="1" applyAlignment="1">
      <alignment horizontal="left" indent="2"/>
    </xf>
    <xf numFmtId="0" fontId="117" fillId="0" borderId="0" xfId="217" applyNumberFormat="1" applyFont="1" applyFill="1" applyAlignment="1">
      <alignment horizontal="left" indent="2"/>
    </xf>
    <xf numFmtId="0" fontId="82" fillId="0" borderId="0" xfId="359" applyNumberFormat="1" applyFont="1" applyAlignment="1">
      <alignment horizontal="left" indent="1"/>
    </xf>
    <xf numFmtId="0" fontId="82" fillId="0" borderId="0" xfId="359" applyNumberFormat="1" applyFont="1" applyAlignment="1">
      <alignment horizontal="left" indent="2"/>
    </xf>
    <xf numFmtId="0" fontId="82" fillId="0" borderId="0" xfId="161" applyNumberFormat="1" applyFont="1" applyAlignment="1">
      <alignment horizontal="left" indent="3"/>
    </xf>
    <xf numFmtId="0" fontId="117" fillId="0" borderId="0" xfId="217" applyNumberFormat="1" applyFont="1" applyFill="1" applyAlignment="1">
      <alignment horizontal="left" indent="4"/>
    </xf>
    <xf numFmtId="0" fontId="82" fillId="0" borderId="0" xfId="1" applyFont="1"/>
    <xf numFmtId="0" fontId="82" fillId="0" borderId="0" xfId="0" applyFont="1"/>
    <xf numFmtId="0" fontId="82" fillId="0" borderId="0" xfId="161" applyNumberFormat="1" applyFont="1"/>
    <xf numFmtId="0" fontId="71" fillId="39" borderId="0" xfId="161" applyNumberFormat="1" applyFont="1" applyFill="1" applyProtection="1">
      <protection locked="0"/>
    </xf>
    <xf numFmtId="0" fontId="72" fillId="39" borderId="0" xfId="161" applyNumberFormat="1" applyFont="1" applyFill="1" applyProtection="1">
      <protection locked="0"/>
    </xf>
    <xf numFmtId="0" fontId="0" fillId="0" borderId="0" xfId="0" applyProtection="1">
      <protection locked="0"/>
    </xf>
    <xf numFmtId="0" fontId="73" fillId="0" borderId="0" xfId="161" applyNumberFormat="1" applyFont="1" applyProtection="1">
      <protection locked="0"/>
    </xf>
    <xf numFmtId="0" fontId="73" fillId="0" borderId="0" xfId="161" applyNumberFormat="1" applyFont="1" applyAlignment="1" applyProtection="1">
      <alignment horizontal="center"/>
      <protection locked="0"/>
    </xf>
    <xf numFmtId="0" fontId="71" fillId="38" borderId="0" xfId="161" applyNumberFormat="1" applyFont="1" applyFill="1" applyProtection="1">
      <protection locked="0"/>
    </xf>
    <xf numFmtId="0" fontId="72" fillId="38" borderId="0" xfId="161" applyNumberFormat="1" applyFont="1" applyFill="1" applyProtection="1">
      <protection locked="0"/>
    </xf>
    <xf numFmtId="0" fontId="73" fillId="0" borderId="0" xfId="161" applyNumberFormat="1" applyFont="1" applyAlignment="1" applyProtection="1">
      <alignment horizontal="left"/>
      <protection locked="0"/>
    </xf>
    <xf numFmtId="0" fontId="74" fillId="0" borderId="0" xfId="283" applyFont="1" applyProtection="1">
      <protection locked="0"/>
    </xf>
    <xf numFmtId="0" fontId="74" fillId="0" borderId="0" xfId="161" applyNumberFormat="1" applyFont="1" applyAlignment="1" applyProtection="1">
      <alignment horizontal="left"/>
      <protection locked="0"/>
    </xf>
    <xf numFmtId="3" fontId="74" fillId="0" borderId="0" xfId="161" applyNumberFormat="1" applyFont="1" applyAlignment="1" applyProtection="1">
      <alignment horizontal="center"/>
      <protection locked="0"/>
    </xf>
    <xf numFmtId="189" fontId="74" fillId="0" borderId="0" xfId="161" applyNumberFormat="1" applyFont="1" applyAlignment="1" applyProtection="1">
      <alignment horizontal="center"/>
      <protection locked="0"/>
    </xf>
    <xf numFmtId="9" fontId="74" fillId="0" borderId="0" xfId="161" applyNumberFormat="1" applyFont="1" applyAlignment="1" applyProtection="1">
      <alignment horizontal="center"/>
      <protection locked="0"/>
    </xf>
    <xf numFmtId="0" fontId="74" fillId="0" borderId="0" xfId="161" applyNumberFormat="1" applyFont="1" applyAlignment="1" applyProtection="1">
      <alignment horizontal="left" wrapText="1"/>
      <protection locked="0"/>
    </xf>
    <xf numFmtId="3" fontId="73" fillId="0" borderId="0" xfId="161" applyNumberFormat="1" applyFont="1" applyAlignment="1" applyProtection="1">
      <alignment horizontal="center"/>
      <protection locked="0"/>
    </xf>
    <xf numFmtId="1" fontId="0" fillId="0" borderId="0" xfId="0" applyNumberFormat="1" applyProtection="1">
      <protection locked="0"/>
    </xf>
    <xf numFmtId="0" fontId="80" fillId="0" borderId="0" xfId="161" applyNumberFormat="1" applyFont="1" applyAlignment="1" applyProtection="1">
      <alignment horizontal="left" wrapText="1"/>
      <protection locked="0"/>
    </xf>
    <xf numFmtId="189" fontId="73" fillId="0" borderId="0" xfId="161" applyNumberFormat="1" applyFont="1" applyAlignment="1" applyProtection="1">
      <alignment horizontal="center"/>
      <protection locked="0"/>
    </xf>
    <xf numFmtId="0" fontId="73" fillId="0" borderId="0" xfId="161" applyNumberFormat="1" applyFont="1" applyAlignment="1" applyProtection="1">
      <alignment horizontal="left" wrapText="1"/>
      <protection locked="0"/>
    </xf>
    <xf numFmtId="0" fontId="74" fillId="38" borderId="0" xfId="161" applyNumberFormat="1" applyFont="1" applyFill="1" applyProtection="1">
      <protection locked="0"/>
    </xf>
    <xf numFmtId="0" fontId="74" fillId="38" borderId="0" xfId="161" applyNumberFormat="1" applyFont="1" applyFill="1" applyAlignment="1" applyProtection="1">
      <alignment horizontal="center"/>
      <protection locked="0"/>
    </xf>
    <xf numFmtId="189" fontId="73" fillId="38" borderId="0" xfId="161" applyNumberFormat="1" applyFont="1" applyFill="1" applyAlignment="1" applyProtection="1">
      <alignment horizontal="center"/>
      <protection locked="0"/>
    </xf>
    <xf numFmtId="0" fontId="74" fillId="0" borderId="0" xfId="161" applyNumberFormat="1" applyFont="1" applyProtection="1">
      <protection locked="0"/>
    </xf>
    <xf numFmtId="2" fontId="74" fillId="0" borderId="0" xfId="161" applyNumberFormat="1" applyFont="1" applyAlignment="1" applyProtection="1">
      <alignment horizontal="center"/>
      <protection locked="0"/>
    </xf>
    <xf numFmtId="166" fontId="74" fillId="0" borderId="0" xfId="161" applyNumberFormat="1" applyFont="1" applyAlignment="1" applyProtection="1">
      <alignment horizontal="center"/>
      <protection locked="0"/>
    </xf>
    <xf numFmtId="10" fontId="74" fillId="0" borderId="0" xfId="161" applyNumberFormat="1" applyFont="1" applyAlignment="1" applyProtection="1">
      <alignment horizontal="center"/>
      <protection locked="0"/>
    </xf>
    <xf numFmtId="10" fontId="74" fillId="0" borderId="0" xfId="161" applyNumberFormat="1" applyFont="1" applyProtection="1">
      <protection locked="0"/>
    </xf>
    <xf numFmtId="0" fontId="71" fillId="0" borderId="0" xfId="161" applyNumberFormat="1" applyFont="1" applyProtection="1">
      <protection locked="0"/>
    </xf>
    <xf numFmtId="167" fontId="80" fillId="0" borderId="0" xfId="161" applyNumberFormat="1" applyFont="1" applyAlignment="1" applyProtection="1">
      <alignment horizontal="center"/>
      <protection locked="0"/>
    </xf>
    <xf numFmtId="0" fontId="74" fillId="0" borderId="0" xfId="161" applyNumberFormat="1" applyFont="1" applyAlignment="1" applyProtection="1">
      <alignment horizontal="right"/>
      <protection locked="0"/>
    </xf>
    <xf numFmtId="3" fontId="74" fillId="0" borderId="0" xfId="161" applyNumberFormat="1" applyFont="1" applyAlignment="1">
      <alignment horizontal="center"/>
    </xf>
    <xf numFmtId="189" fontId="74" fillId="0" borderId="0" xfId="161" applyNumberFormat="1" applyFont="1" applyAlignment="1">
      <alignment horizontal="center"/>
    </xf>
    <xf numFmtId="3" fontId="73" fillId="0" borderId="0" xfId="161" applyNumberFormat="1" applyFont="1" applyAlignment="1">
      <alignment horizontal="center"/>
    </xf>
    <xf numFmtId="189" fontId="73" fillId="0" borderId="0" xfId="161" applyNumberFormat="1" applyFont="1" applyAlignment="1">
      <alignment horizontal="center"/>
    </xf>
    <xf numFmtId="9" fontId="74" fillId="0" borderId="0" xfId="161" applyNumberFormat="1" applyFont="1" applyAlignment="1">
      <alignment horizontal="center" wrapText="1"/>
    </xf>
    <xf numFmtId="2" fontId="74" fillId="0" borderId="0" xfId="161" applyNumberFormat="1" applyFont="1" applyAlignment="1">
      <alignment horizontal="center"/>
    </xf>
    <xf numFmtId="166" fontId="74" fillId="0" borderId="0" xfId="161" applyNumberFormat="1" applyFont="1" applyAlignment="1">
      <alignment horizontal="center"/>
    </xf>
    <xf numFmtId="0" fontId="73" fillId="0" borderId="0" xfId="161" quotePrefix="1" applyNumberFormat="1" applyFont="1" applyAlignment="1" applyProtection="1">
      <alignment horizontal="center"/>
      <protection locked="0"/>
    </xf>
    <xf numFmtId="17" fontId="73" fillId="0" borderId="0" xfId="161" quotePrefix="1" applyNumberFormat="1" applyFont="1" applyAlignment="1" applyProtection="1">
      <alignment horizontal="center"/>
      <protection locked="0"/>
    </xf>
    <xf numFmtId="0" fontId="77" fillId="0" borderId="0" xfId="283" applyFont="1" applyAlignment="1" applyProtection="1">
      <alignment horizontal="left" vertical="center" wrapText="1" readingOrder="1"/>
      <protection locked="0"/>
    </xf>
    <xf numFmtId="0" fontId="78" fillId="0" borderId="0" xfId="283" applyFont="1" applyAlignment="1" applyProtection="1">
      <alignment horizontal="left" vertical="center" wrapText="1" readingOrder="1"/>
      <protection locked="0"/>
    </xf>
    <xf numFmtId="0" fontId="74" fillId="0" borderId="0" xfId="283" applyFont="1" applyAlignment="1" applyProtection="1">
      <alignment horizontal="center"/>
      <protection locked="0"/>
    </xf>
    <xf numFmtId="0" fontId="78" fillId="38" borderId="0" xfId="283" applyFont="1" applyFill="1" applyAlignment="1" applyProtection="1">
      <alignment horizontal="left" vertical="center" wrapText="1" readingOrder="1"/>
      <protection locked="0"/>
    </xf>
    <xf numFmtId="166" fontId="74" fillId="38" borderId="0" xfId="161" applyNumberFormat="1" applyFont="1" applyFill="1" applyAlignment="1" applyProtection="1">
      <alignment horizontal="center"/>
      <protection locked="0"/>
    </xf>
    <xf numFmtId="3" fontId="74" fillId="0" borderId="0" xfId="283" applyNumberFormat="1" applyFont="1" applyAlignment="1" applyProtection="1">
      <alignment horizontal="center"/>
      <protection locked="0"/>
    </xf>
    <xf numFmtId="0" fontId="81" fillId="0" borderId="0" xfId="283" applyFont="1" applyAlignment="1" applyProtection="1">
      <alignment vertical="center" wrapText="1"/>
      <protection locked="0"/>
    </xf>
    <xf numFmtId="0" fontId="71" fillId="38" borderId="0" xfId="283" applyFont="1" applyFill="1" applyAlignment="1" applyProtection="1">
      <alignment horizontal="left"/>
      <protection locked="0"/>
    </xf>
    <xf numFmtId="0" fontId="71" fillId="38" borderId="0" xfId="283" applyFont="1" applyFill="1" applyAlignment="1" applyProtection="1">
      <alignment horizontal="center"/>
      <protection locked="0"/>
    </xf>
    <xf numFmtId="3" fontId="74" fillId="38" borderId="0" xfId="283" applyNumberFormat="1" applyFont="1" applyFill="1" applyAlignment="1" applyProtection="1">
      <alignment horizontal="center"/>
      <protection locked="0"/>
    </xf>
    <xf numFmtId="0" fontId="74" fillId="0" borderId="0" xfId="283" applyFont="1" applyAlignment="1" applyProtection="1">
      <alignment horizontal="left"/>
      <protection locked="0"/>
    </xf>
    <xf numFmtId="0" fontId="73" fillId="0" borderId="0" xfId="283" applyFont="1" applyAlignment="1" applyProtection="1">
      <alignment horizontal="left"/>
      <protection locked="0"/>
    </xf>
    <xf numFmtId="0" fontId="73" fillId="0" borderId="0" xfId="283" applyFont="1" applyAlignment="1" applyProtection="1">
      <alignment horizontal="center"/>
      <protection locked="0"/>
    </xf>
    <xf numFmtId="3" fontId="72" fillId="38" borderId="0" xfId="283" applyNumberFormat="1" applyFont="1" applyFill="1" applyAlignment="1" applyProtection="1">
      <alignment horizontal="center"/>
      <protection locked="0"/>
    </xf>
    <xf numFmtId="0" fontId="80" fillId="0" borderId="0" xfId="283" applyFont="1" applyAlignment="1" applyProtection="1">
      <alignment horizontal="left"/>
      <protection locked="0"/>
    </xf>
    <xf numFmtId="0" fontId="80" fillId="0" borderId="0" xfId="283" applyFont="1" applyAlignment="1" applyProtection="1">
      <alignment horizontal="center"/>
      <protection locked="0"/>
    </xf>
    <xf numFmtId="3" fontId="82" fillId="0" borderId="0" xfId="283" applyNumberFormat="1" applyFont="1" applyAlignment="1" applyProtection="1">
      <alignment horizontal="center"/>
      <protection locked="0"/>
    </xf>
    <xf numFmtId="3" fontId="73" fillId="0" borderId="31" xfId="161" applyNumberFormat="1" applyFont="1" applyBorder="1" applyAlignment="1">
      <alignment horizontal="center"/>
    </xf>
    <xf numFmtId="0" fontId="74" fillId="0" borderId="0" xfId="283" applyFont="1" applyAlignment="1">
      <alignment horizontal="center"/>
    </xf>
    <xf numFmtId="3" fontId="74" fillId="0" borderId="0" xfId="283" applyNumberFormat="1" applyFont="1" applyAlignment="1">
      <alignment horizontal="center"/>
    </xf>
    <xf numFmtId="165" fontId="73" fillId="0" borderId="0" xfId="161" applyNumberFormat="1" applyFont="1" applyAlignment="1" applyProtection="1">
      <alignment horizontal="center"/>
      <protection locked="0"/>
    </xf>
    <xf numFmtId="165" fontId="71" fillId="38" borderId="0" xfId="161" applyNumberFormat="1" applyFont="1" applyFill="1" applyProtection="1">
      <protection locked="0"/>
    </xf>
    <xf numFmtId="3" fontId="82" fillId="0" borderId="0" xfId="161" applyNumberFormat="1" applyFont="1" applyAlignment="1" applyProtection="1">
      <alignment horizontal="center"/>
      <protection locked="0"/>
    </xf>
    <xf numFmtId="165" fontId="80" fillId="0" borderId="0" xfId="161" applyNumberFormat="1" applyFont="1" applyAlignment="1" applyProtection="1">
      <alignment horizontal="center"/>
      <protection locked="0"/>
    </xf>
    <xf numFmtId="0" fontId="74" fillId="0" borderId="0" xfId="161" applyNumberFormat="1" applyFont="1" applyAlignment="1" applyProtection="1">
      <alignment wrapText="1"/>
      <protection locked="0"/>
    </xf>
    <xf numFmtId="165" fontId="71" fillId="38" borderId="0" xfId="161" applyNumberFormat="1" applyFont="1" applyFill="1" applyAlignment="1" applyProtection="1">
      <alignment horizontal="center"/>
      <protection locked="0"/>
    </xf>
    <xf numFmtId="3" fontId="82" fillId="0" borderId="0" xfId="161" applyNumberFormat="1" applyFont="1" applyAlignment="1">
      <alignment horizontal="center"/>
    </xf>
    <xf numFmtId="165" fontId="82" fillId="0" borderId="0" xfId="161" applyNumberFormat="1" applyFont="1" applyAlignment="1">
      <alignment horizontal="center"/>
    </xf>
    <xf numFmtId="3" fontId="80" fillId="0" borderId="0" xfId="161" applyNumberFormat="1" applyFont="1" applyAlignment="1">
      <alignment horizontal="center"/>
    </xf>
    <xf numFmtId="165" fontId="80" fillId="0" borderId="0" xfId="161" applyNumberFormat="1" applyFont="1" applyAlignment="1">
      <alignment horizontal="center"/>
    </xf>
    <xf numFmtId="165" fontId="82" fillId="38" borderId="0" xfId="161" applyNumberFormat="1" applyFont="1" applyFill="1" applyAlignment="1">
      <alignment horizontal="center"/>
    </xf>
    <xf numFmtId="0" fontId="82" fillId="0" borderId="0" xfId="283" applyFont="1" applyAlignment="1">
      <alignment horizontal="center"/>
    </xf>
    <xf numFmtId="167" fontId="73" fillId="0" borderId="0" xfId="283" applyNumberFormat="1" applyFont="1" applyAlignment="1" applyProtection="1">
      <alignment horizontal="center"/>
      <protection locked="0"/>
    </xf>
    <xf numFmtId="167" fontId="73" fillId="0" borderId="0" xfId="283" applyNumberFormat="1" applyFont="1" applyAlignment="1" applyProtection="1">
      <alignment horizontal="center" wrapText="1"/>
      <protection locked="0"/>
    </xf>
    <xf numFmtId="0" fontId="71" fillId="38" borderId="0" xfId="240" applyFont="1" applyFill="1" applyProtection="1">
      <protection locked="0"/>
    </xf>
    <xf numFmtId="0" fontId="82" fillId="0" borderId="0" xfId="240" applyFont="1" applyProtection="1">
      <protection locked="0"/>
    </xf>
    <xf numFmtId="0" fontId="3" fillId="0" borderId="0" xfId="283" applyProtection="1">
      <protection locked="0"/>
    </xf>
    <xf numFmtId="0" fontId="73" fillId="0" borderId="0" xfId="240" applyFont="1" applyProtection="1">
      <protection locked="0"/>
    </xf>
    <xf numFmtId="165" fontId="74" fillId="0" borderId="0" xfId="161" applyNumberFormat="1" applyFont="1" applyAlignment="1" applyProtection="1">
      <alignment horizontal="center"/>
      <protection locked="0"/>
    </xf>
    <xf numFmtId="0" fontId="80" fillId="0" borderId="0" xfId="240" applyFont="1" applyProtection="1">
      <protection locked="0"/>
    </xf>
    <xf numFmtId="0" fontId="0" fillId="38" borderId="0" xfId="0" applyFill="1" applyProtection="1">
      <protection locked="0"/>
    </xf>
    <xf numFmtId="165" fontId="74" fillId="0" borderId="0" xfId="161" applyNumberFormat="1" applyFont="1" applyProtection="1">
      <protection locked="0"/>
    </xf>
    <xf numFmtId="3" fontId="73" fillId="0" borderId="31" xfId="283" applyNumberFormat="1" applyFont="1" applyBorder="1" applyAlignment="1">
      <alignment horizontal="center"/>
    </xf>
    <xf numFmtId="165" fontId="74" fillId="0" borderId="0" xfId="161" applyNumberFormat="1" applyFont="1" applyAlignment="1">
      <alignment horizontal="center"/>
    </xf>
    <xf numFmtId="165" fontId="71" fillId="38" borderId="0" xfId="161" applyNumberFormat="1" applyFont="1" applyFill="1" applyAlignment="1">
      <alignment horizontal="center"/>
    </xf>
    <xf numFmtId="165" fontId="72" fillId="38" borderId="0" xfId="161" applyNumberFormat="1" applyFont="1" applyFill="1" applyProtection="1">
      <protection locked="0"/>
    </xf>
    <xf numFmtId="165" fontId="72" fillId="0" borderId="0" xfId="161" applyNumberFormat="1" applyFont="1" applyProtection="1">
      <protection locked="0"/>
    </xf>
    <xf numFmtId="165" fontId="73" fillId="0" borderId="0" xfId="161" applyNumberFormat="1" applyFont="1" applyProtection="1">
      <protection locked="0"/>
    </xf>
    <xf numFmtId="9" fontId="82" fillId="0" borderId="0" xfId="161" applyNumberFormat="1" applyFont="1" applyAlignment="1" applyProtection="1">
      <alignment horizontal="center"/>
      <protection locked="0"/>
    </xf>
    <xf numFmtId="0" fontId="74" fillId="0" borderId="0" xfId="359" applyNumberFormat="1" applyFont="1" applyProtection="1">
      <protection locked="0"/>
    </xf>
    <xf numFmtId="165" fontId="71" fillId="0" borderId="0" xfId="161" applyNumberFormat="1" applyFont="1" applyProtection="1">
      <protection locked="0"/>
    </xf>
    <xf numFmtId="0" fontId="80" fillId="0" borderId="0" xfId="161" applyNumberFormat="1" applyFont="1" applyProtection="1">
      <protection locked="0"/>
    </xf>
    <xf numFmtId="165" fontId="71" fillId="0" borderId="0" xfId="161" applyNumberFormat="1" applyFont="1" applyAlignment="1" applyProtection="1">
      <alignment horizontal="center"/>
      <protection locked="0"/>
    </xf>
    <xf numFmtId="0" fontId="74" fillId="0" borderId="0" xfId="240" applyFont="1" applyProtection="1">
      <protection locked="0"/>
    </xf>
    <xf numFmtId="165" fontId="80" fillId="0" borderId="0" xfId="161" applyNumberFormat="1" applyFont="1" applyProtection="1">
      <protection locked="0"/>
    </xf>
    <xf numFmtId="3" fontId="80" fillId="0" borderId="31" xfId="161" applyNumberFormat="1" applyFont="1" applyBorder="1" applyAlignment="1">
      <alignment horizontal="center"/>
    </xf>
    <xf numFmtId="9" fontId="74" fillId="0" borderId="0" xfId="161" applyNumberFormat="1" applyFont="1" applyAlignment="1">
      <alignment horizontal="center"/>
    </xf>
    <xf numFmtId="165" fontId="71" fillId="0" borderId="0" xfId="161" applyNumberFormat="1" applyFont="1" applyAlignment="1">
      <alignment horizontal="center"/>
    </xf>
    <xf numFmtId="0" fontId="71" fillId="39" borderId="0" xfId="359" applyNumberFormat="1" applyFont="1" applyFill="1" applyProtection="1">
      <protection locked="0"/>
    </xf>
    <xf numFmtId="0" fontId="73" fillId="0" borderId="0" xfId="359" applyNumberFormat="1" applyFont="1" applyProtection="1">
      <protection locked="0"/>
    </xf>
    <xf numFmtId="167" fontId="73" fillId="0" borderId="0" xfId="283" quotePrefix="1" applyNumberFormat="1" applyFont="1" applyAlignment="1" applyProtection="1">
      <alignment horizontal="center"/>
      <protection locked="0"/>
    </xf>
    <xf numFmtId="0" fontId="71" fillId="38" borderId="0" xfId="360" applyFont="1" applyFill="1" applyProtection="1">
      <protection locked="0"/>
    </xf>
    <xf numFmtId="165" fontId="72" fillId="38" borderId="0" xfId="359" applyNumberFormat="1" applyFont="1" applyFill="1" applyProtection="1">
      <protection locked="0"/>
    </xf>
    <xf numFmtId="0" fontId="80" fillId="0" borderId="0" xfId="360" applyFont="1" applyProtection="1">
      <protection locked="0"/>
    </xf>
    <xf numFmtId="0" fontId="82" fillId="0" borderId="0" xfId="360" applyFont="1" applyProtection="1">
      <protection locked="0"/>
    </xf>
    <xf numFmtId="0" fontId="74" fillId="0" borderId="0" xfId="360" applyFont="1" applyProtection="1">
      <protection locked="0"/>
    </xf>
    <xf numFmtId="0" fontId="71" fillId="38" borderId="0" xfId="359" applyNumberFormat="1" applyFont="1" applyFill="1" applyProtection="1">
      <protection locked="0"/>
    </xf>
    <xf numFmtId="0" fontId="74" fillId="0" borderId="0" xfId="359" applyNumberFormat="1" applyFont="1" applyAlignment="1" applyProtection="1">
      <alignment horizontal="left" indent="1"/>
      <protection locked="0"/>
    </xf>
    <xf numFmtId="165" fontId="74" fillId="0" borderId="0" xfId="359" applyNumberFormat="1" applyFont="1" applyProtection="1">
      <protection locked="0"/>
    </xf>
    <xf numFmtId="3" fontId="82" fillId="0" borderId="0" xfId="359" applyNumberFormat="1" applyFont="1" applyAlignment="1">
      <alignment horizontal="center"/>
    </xf>
    <xf numFmtId="3" fontId="82" fillId="0" borderId="0" xfId="283" applyNumberFormat="1" applyFont="1" applyAlignment="1">
      <alignment horizontal="center"/>
    </xf>
    <xf numFmtId="165" fontId="74" fillId="0" borderId="0" xfId="359" applyNumberFormat="1" applyFont="1" applyAlignment="1">
      <alignment horizontal="center"/>
    </xf>
    <xf numFmtId="165" fontId="74" fillId="38" borderId="0" xfId="359" applyNumberFormat="1" applyFont="1" applyFill="1" applyAlignment="1">
      <alignment horizontal="center"/>
    </xf>
    <xf numFmtId="9" fontId="74" fillId="0" borderId="0" xfId="359" applyNumberFormat="1" applyFont="1" applyAlignment="1">
      <alignment horizontal="center"/>
    </xf>
    <xf numFmtId="9" fontId="74" fillId="47" borderId="0" xfId="359" applyNumberFormat="1" applyFont="1" applyFill="1" applyAlignment="1">
      <alignment horizontal="center"/>
    </xf>
    <xf numFmtId="9" fontId="73" fillId="0" borderId="0" xfId="359" applyNumberFormat="1" applyFont="1" applyAlignment="1">
      <alignment horizontal="center"/>
    </xf>
    <xf numFmtId="165" fontId="71" fillId="38" borderId="0" xfId="359" applyNumberFormat="1" applyFont="1" applyFill="1" applyAlignment="1">
      <alignment horizontal="center"/>
    </xf>
    <xf numFmtId="0" fontId="71" fillId="39" borderId="0" xfId="361" applyNumberFormat="1" applyFont="1" applyFill="1" applyProtection="1">
      <protection locked="0"/>
    </xf>
    <xf numFmtId="165" fontId="71" fillId="39" borderId="0" xfId="361" applyNumberFormat="1" applyFont="1" applyFill="1" applyProtection="1">
      <protection locked="0"/>
    </xf>
    <xf numFmtId="0" fontId="73" fillId="0" borderId="0" xfId="361" applyNumberFormat="1" applyFont="1" applyProtection="1">
      <protection locked="0"/>
    </xf>
    <xf numFmtId="0" fontId="71" fillId="38" borderId="0" xfId="362" applyFont="1" applyFill="1" applyProtection="1">
      <protection locked="0"/>
    </xf>
    <xf numFmtId="165" fontId="71" fillId="38" borderId="0" xfId="361" applyNumberFormat="1" applyFont="1" applyFill="1" applyProtection="1">
      <protection locked="0"/>
    </xf>
    <xf numFmtId="0" fontId="71" fillId="0" borderId="0" xfId="362" applyFont="1" applyProtection="1">
      <protection locked="0"/>
    </xf>
    <xf numFmtId="0" fontId="80" fillId="0" borderId="0" xfId="362" applyFont="1" applyProtection="1">
      <protection locked="0"/>
    </xf>
    <xf numFmtId="165" fontId="74" fillId="0" borderId="0" xfId="361" applyNumberFormat="1" applyFont="1" applyProtection="1">
      <protection locked="0"/>
    </xf>
    <xf numFmtId="0" fontId="75" fillId="0" borderId="0" xfId="361" applyNumberFormat="1" applyFont="1" applyProtection="1">
      <protection locked="0"/>
    </xf>
    <xf numFmtId="3" fontId="74" fillId="0" borderId="0" xfId="361" applyNumberFormat="1" applyFont="1" applyAlignment="1">
      <alignment horizontal="center"/>
    </xf>
    <xf numFmtId="3" fontId="73" fillId="0" borderId="31" xfId="361" applyNumberFormat="1" applyFont="1" applyBorder="1" applyAlignment="1">
      <alignment horizontal="center"/>
    </xf>
    <xf numFmtId="0" fontId="71" fillId="0" borderId="0" xfId="362" applyFont="1"/>
    <xf numFmtId="165" fontId="72" fillId="0" borderId="0" xfId="361" applyNumberFormat="1" applyFont="1" applyAlignment="1">
      <alignment horizontal="center"/>
    </xf>
    <xf numFmtId="165" fontId="71" fillId="38" borderId="0" xfId="361" applyNumberFormat="1" applyFont="1" applyFill="1" applyAlignment="1">
      <alignment horizontal="center"/>
    </xf>
    <xf numFmtId="0" fontId="75" fillId="0" borderId="0" xfId="161" applyNumberFormat="1" applyFont="1" applyProtection="1">
      <protection locked="0"/>
    </xf>
    <xf numFmtId="3" fontId="80" fillId="0" borderId="31" xfId="283" applyNumberFormat="1" applyFont="1" applyBorder="1" applyAlignment="1">
      <alignment horizontal="center"/>
    </xf>
    <xf numFmtId="0" fontId="71" fillId="38" borderId="0" xfId="161" applyNumberFormat="1" applyFont="1" applyFill="1" applyAlignment="1" applyProtection="1">
      <alignment horizontal="center"/>
      <protection locked="0"/>
    </xf>
    <xf numFmtId="9" fontId="80" fillId="0" borderId="0" xfId="161" applyNumberFormat="1" applyFont="1" applyAlignment="1" applyProtection="1">
      <alignment horizontal="center"/>
      <protection locked="0"/>
    </xf>
    <xf numFmtId="9" fontId="80" fillId="0" borderId="31" xfId="161" applyNumberFormat="1" applyFont="1" applyBorder="1" applyAlignment="1" applyProtection="1">
      <alignment horizontal="center"/>
      <protection locked="0"/>
    </xf>
    <xf numFmtId="9" fontId="73" fillId="0" borderId="0" xfId="161" applyNumberFormat="1" applyFont="1" applyAlignment="1">
      <alignment horizontal="center"/>
    </xf>
    <xf numFmtId="3" fontId="80" fillId="0" borderId="0" xfId="359" applyNumberFormat="1" applyFont="1" applyAlignment="1">
      <alignment horizontal="center"/>
    </xf>
    <xf numFmtId="3" fontId="80" fillId="0" borderId="31" xfId="359" applyNumberFormat="1" applyFont="1" applyBorder="1" applyAlignment="1">
      <alignment horizontal="center"/>
    </xf>
    <xf numFmtId="0" fontId="74" fillId="0" borderId="0" xfId="0" applyFont="1" applyProtection="1">
      <protection locked="0"/>
    </xf>
    <xf numFmtId="1" fontId="74" fillId="0" borderId="0" xfId="0" applyNumberFormat="1" applyFont="1" applyProtection="1">
      <protection locked="0"/>
    </xf>
    <xf numFmtId="9" fontId="74" fillId="0" borderId="0" xfId="283" applyNumberFormat="1" applyFont="1" applyAlignment="1">
      <alignment horizontal="center"/>
    </xf>
    <xf numFmtId="9" fontId="73" fillId="0" borderId="0" xfId="283" applyNumberFormat="1" applyFont="1" applyAlignment="1">
      <alignment horizontal="center"/>
    </xf>
    <xf numFmtId="166" fontId="74" fillId="0" borderId="0" xfId="161" applyNumberFormat="1" applyFont="1" applyAlignment="1">
      <alignment horizontal="center" wrapText="1"/>
    </xf>
    <xf numFmtId="10" fontId="74" fillId="0" borderId="0" xfId="161" applyNumberFormat="1" applyFont="1" applyAlignment="1">
      <alignment horizontal="center" wrapText="1"/>
    </xf>
    <xf numFmtId="9" fontId="73" fillId="0" borderId="31" xfId="161" applyNumberFormat="1" applyFont="1" applyBorder="1" applyAlignment="1" applyProtection="1">
      <alignment horizontal="center"/>
      <protection locked="0"/>
    </xf>
    <xf numFmtId="0" fontId="110" fillId="0" borderId="0" xfId="359" applyNumberFormat="1" applyFont="1" applyProtection="1">
      <protection locked="0"/>
    </xf>
    <xf numFmtId="9" fontId="73" fillId="0" borderId="0" xfId="161" applyNumberFormat="1" applyFont="1" applyAlignment="1" applyProtection="1">
      <alignment horizontal="center"/>
      <protection locked="0"/>
    </xf>
    <xf numFmtId="9" fontId="119" fillId="0" borderId="0" xfId="283" applyNumberFormat="1" applyFont="1" applyAlignment="1" applyProtection="1">
      <alignment horizontal="center"/>
      <protection locked="0"/>
    </xf>
    <xf numFmtId="9" fontId="73" fillId="0" borderId="31" xfId="283" applyNumberFormat="1" applyFont="1" applyBorder="1" applyAlignment="1" applyProtection="1">
      <alignment horizontal="center"/>
      <protection locked="0"/>
    </xf>
    <xf numFmtId="0" fontId="119" fillId="0" borderId="0" xfId="283" applyFont="1" applyAlignment="1" applyProtection="1">
      <alignment horizontal="center"/>
      <protection locked="0"/>
    </xf>
    <xf numFmtId="0" fontId="120" fillId="38" borderId="0" xfId="0" applyFont="1" applyFill="1" applyAlignment="1" applyProtection="1">
      <alignment horizontal="center"/>
      <protection locked="0"/>
    </xf>
    <xf numFmtId="0" fontId="82" fillId="0" borderId="0" xfId="283" applyFont="1" applyAlignment="1" applyProtection="1">
      <alignment horizontal="left" vertical="center" wrapText="1" readingOrder="1"/>
      <protection locked="0"/>
    </xf>
    <xf numFmtId="0" fontId="3" fillId="0" borderId="0" xfId="283" applyAlignment="1" applyProtection="1">
      <alignment wrapText="1"/>
      <protection locked="0"/>
    </xf>
    <xf numFmtId="0" fontId="120" fillId="0" borderId="0" xfId="0" applyFont="1" applyProtection="1">
      <protection locked="0"/>
    </xf>
    <xf numFmtId="3" fontId="119" fillId="0" borderId="0" xfId="283" applyNumberFormat="1" applyFont="1" applyAlignment="1">
      <alignment horizontal="center"/>
    </xf>
    <xf numFmtId="0" fontId="74" fillId="0" borderId="0" xfId="0" applyFont="1"/>
    <xf numFmtId="0" fontId="123" fillId="39" borderId="0" xfId="0" applyFont="1" applyFill="1"/>
    <xf numFmtId="3" fontId="0" fillId="0" borderId="0" xfId="0" applyNumberFormat="1" applyProtection="1">
      <protection locked="0"/>
    </xf>
    <xf numFmtId="0" fontId="73" fillId="0" borderId="0" xfId="0" applyFont="1" applyProtection="1">
      <protection locked="0"/>
    </xf>
    <xf numFmtId="3" fontId="82" fillId="0" borderId="16" xfId="161" applyNumberFormat="1" applyFont="1" applyBorder="1" applyAlignment="1">
      <alignment horizontal="center"/>
    </xf>
    <xf numFmtId="3" fontId="74" fillId="49" borderId="0" xfId="161" applyNumberFormat="1" applyFont="1" applyFill="1" applyAlignment="1" applyProtection="1">
      <alignment horizontal="center"/>
      <protection locked="0"/>
    </xf>
    <xf numFmtId="3" fontId="73" fillId="49" borderId="31" xfId="161" applyNumberFormat="1" applyFont="1" applyFill="1" applyBorder="1" applyAlignment="1" applyProtection="1">
      <alignment horizontal="center"/>
      <protection locked="0"/>
    </xf>
    <xf numFmtId="3" fontId="73" fillId="49" borderId="0" xfId="161" applyNumberFormat="1" applyFont="1" applyFill="1" applyAlignment="1" applyProtection="1">
      <alignment horizontal="center"/>
      <protection locked="0"/>
    </xf>
    <xf numFmtId="166" fontId="74" fillId="49" borderId="0" xfId="161" applyNumberFormat="1" applyFont="1" applyFill="1" applyAlignment="1" applyProtection="1">
      <alignment horizontal="center"/>
      <protection locked="0"/>
    </xf>
    <xf numFmtId="3" fontId="82" fillId="49" borderId="0" xfId="161" applyNumberFormat="1" applyFont="1" applyFill="1" applyAlignment="1" applyProtection="1">
      <alignment horizontal="center"/>
      <protection locked="0"/>
    </xf>
    <xf numFmtId="3" fontId="80" fillId="49" borderId="31" xfId="161" applyNumberFormat="1" applyFont="1" applyFill="1" applyBorder="1" applyAlignment="1" applyProtection="1">
      <alignment horizontal="center"/>
      <protection locked="0"/>
    </xf>
    <xf numFmtId="3" fontId="82" fillId="49" borderId="16" xfId="161" applyNumberFormat="1" applyFont="1" applyFill="1" applyBorder="1" applyAlignment="1" applyProtection="1">
      <alignment horizontal="center"/>
      <protection locked="0"/>
    </xf>
    <xf numFmtId="9" fontId="82" fillId="49" borderId="0" xfId="161" applyNumberFormat="1" applyFont="1" applyFill="1" applyAlignment="1" applyProtection="1">
      <alignment horizontal="center"/>
      <protection locked="0"/>
    </xf>
    <xf numFmtId="9" fontId="80" fillId="49" borderId="0" xfId="161" applyNumberFormat="1" applyFont="1" applyFill="1" applyAlignment="1" applyProtection="1">
      <alignment horizontal="center"/>
      <protection locked="0"/>
    </xf>
    <xf numFmtId="3" fontId="82" fillId="49" borderId="0" xfId="359" applyNumberFormat="1" applyFont="1" applyFill="1" applyAlignment="1" applyProtection="1">
      <alignment horizontal="center"/>
      <protection locked="0"/>
    </xf>
    <xf numFmtId="3" fontId="80" fillId="49" borderId="31" xfId="359" applyNumberFormat="1" applyFont="1" applyFill="1" applyBorder="1" applyAlignment="1" applyProtection="1">
      <alignment horizontal="center"/>
      <protection locked="0"/>
    </xf>
    <xf numFmtId="9" fontId="74" fillId="49" borderId="0" xfId="359" applyNumberFormat="1" applyFont="1" applyFill="1" applyAlignment="1" applyProtection="1">
      <alignment horizontal="center"/>
      <protection locked="0"/>
    </xf>
    <xf numFmtId="9" fontId="73" fillId="49" borderId="0" xfId="359" applyNumberFormat="1" applyFont="1" applyFill="1" applyAlignment="1" applyProtection="1">
      <alignment horizontal="center"/>
      <protection locked="0"/>
    </xf>
    <xf numFmtId="17" fontId="0" fillId="0" borderId="0" xfId="0" applyNumberFormat="1" applyProtection="1">
      <protection locked="0"/>
    </xf>
    <xf numFmtId="0" fontId="74" fillId="0" borderId="0" xfId="161" applyNumberFormat="1" applyFont="1" applyAlignment="1">
      <alignment horizontal="left"/>
    </xf>
    <xf numFmtId="189" fontId="73" fillId="38" borderId="0" xfId="161" applyNumberFormat="1" applyFont="1" applyFill="1" applyAlignment="1">
      <alignment horizontal="center"/>
    </xf>
    <xf numFmtId="10" fontId="74" fillId="0" borderId="0" xfId="161" applyNumberFormat="1" applyFont="1"/>
    <xf numFmtId="0" fontId="72" fillId="38" borderId="0" xfId="161" applyNumberFormat="1" applyFont="1" applyFill="1"/>
    <xf numFmtId="167" fontId="80" fillId="0" borderId="0" xfId="161" applyNumberFormat="1" applyFont="1" applyAlignment="1">
      <alignment horizontal="center"/>
    </xf>
    <xf numFmtId="0" fontId="74" fillId="0" borderId="0" xfId="161" applyNumberFormat="1" applyFont="1"/>
    <xf numFmtId="0" fontId="74" fillId="0" borderId="0" xfId="161" applyNumberFormat="1" applyFont="1" applyAlignment="1">
      <alignment horizontal="right"/>
    </xf>
    <xf numFmtId="1" fontId="74" fillId="49" borderId="0" xfId="161" applyNumberFormat="1" applyFont="1" applyFill="1" applyAlignment="1" applyProtection="1">
      <alignment horizontal="center"/>
      <protection locked="0"/>
    </xf>
    <xf numFmtId="165" fontId="74" fillId="0" borderId="0" xfId="161" applyNumberFormat="1" applyFont="1"/>
    <xf numFmtId="165" fontId="71" fillId="38" borderId="0" xfId="161" applyNumberFormat="1" applyFont="1" applyFill="1"/>
    <xf numFmtId="9" fontId="82" fillId="0" borderId="0" xfId="161" applyNumberFormat="1" applyFont="1" applyAlignment="1">
      <alignment horizontal="center"/>
    </xf>
    <xf numFmtId="9" fontId="80" fillId="0" borderId="0" xfId="161" applyNumberFormat="1" applyFont="1" applyAlignment="1">
      <alignment horizontal="center"/>
    </xf>
    <xf numFmtId="9" fontId="74" fillId="49" borderId="0" xfId="161" applyNumberFormat="1" applyFont="1" applyFill="1" applyAlignment="1" applyProtection="1">
      <alignment horizontal="center"/>
      <protection locked="0"/>
    </xf>
    <xf numFmtId="165" fontId="71" fillId="38" borderId="0" xfId="361" applyNumberFormat="1" applyFont="1" applyFill="1" applyAlignment="1" applyProtection="1">
      <alignment horizontal="center"/>
      <protection locked="0"/>
    </xf>
    <xf numFmtId="0" fontId="75" fillId="0" borderId="0" xfId="161" applyNumberFormat="1" applyFont="1" applyAlignment="1" applyProtection="1">
      <alignment wrapText="1"/>
      <protection locked="0"/>
    </xf>
    <xf numFmtId="3" fontId="73" fillId="0" borderId="31" xfId="161" applyNumberFormat="1" applyFont="1" applyBorder="1" applyAlignment="1" applyProtection="1">
      <alignment horizontal="center"/>
      <protection locked="0"/>
    </xf>
    <xf numFmtId="165" fontId="72" fillId="0" borderId="0" xfId="359" applyNumberFormat="1" applyFont="1" applyAlignment="1">
      <alignment horizontal="center"/>
    </xf>
    <xf numFmtId="9" fontId="82" fillId="0" borderId="0" xfId="359" applyNumberFormat="1" applyFont="1" applyAlignment="1">
      <alignment horizontal="center"/>
    </xf>
    <xf numFmtId="9" fontId="80" fillId="0" borderId="31" xfId="359" applyNumberFormat="1" applyFont="1" applyBorder="1" applyAlignment="1">
      <alignment horizontal="center"/>
    </xf>
    <xf numFmtId="9" fontId="80" fillId="0" borderId="0" xfId="359" applyNumberFormat="1" applyFont="1" applyAlignment="1">
      <alignment horizontal="center"/>
    </xf>
    <xf numFmtId="166" fontId="74" fillId="0" borderId="0" xfId="359" applyNumberFormat="1" applyFont="1" applyAlignment="1">
      <alignment horizontal="center"/>
    </xf>
    <xf numFmtId="165" fontId="73" fillId="0" borderId="0" xfId="359" applyNumberFormat="1" applyFont="1" applyAlignment="1">
      <alignment horizontal="center"/>
    </xf>
    <xf numFmtId="0" fontId="0" fillId="0" borderId="0" xfId="0" applyAlignment="1" applyProtection="1">
      <alignment wrapText="1"/>
      <protection locked="0"/>
    </xf>
    <xf numFmtId="0" fontId="124" fillId="0" borderId="0" xfId="283" applyFont="1" applyProtection="1">
      <protection locked="0"/>
    </xf>
    <xf numFmtId="0" fontId="124" fillId="0" borderId="0" xfId="283" applyFont="1" applyAlignment="1" applyProtection="1">
      <alignment wrapText="1"/>
      <protection locked="0"/>
    </xf>
    <xf numFmtId="3" fontId="74" fillId="0" borderId="0" xfId="0" applyNumberFormat="1" applyFont="1" applyProtection="1">
      <protection locked="0"/>
    </xf>
    <xf numFmtId="191" fontId="0" fillId="0" borderId="0" xfId="0" applyNumberFormat="1" applyProtection="1">
      <protection locked="0"/>
    </xf>
    <xf numFmtId="3" fontId="80" fillId="49" borderId="0" xfId="359" applyNumberFormat="1" applyFont="1" applyFill="1" applyAlignment="1">
      <alignment horizontal="center"/>
    </xf>
    <xf numFmtId="3" fontId="82" fillId="49" borderId="0" xfId="359" applyNumberFormat="1" applyFont="1" applyFill="1" applyAlignment="1">
      <alignment horizontal="center"/>
    </xf>
    <xf numFmtId="0" fontId="117" fillId="0" borderId="0" xfId="217" applyNumberFormat="1" applyFont="1" applyAlignment="1">
      <alignment horizontal="left" indent="1"/>
    </xf>
    <xf numFmtId="0" fontId="117" fillId="0" borderId="0" xfId="217" applyNumberFormat="1" applyFont="1" applyAlignment="1">
      <alignment horizontal="left" indent="3"/>
    </xf>
    <xf numFmtId="0" fontId="117" fillId="0" borderId="0" xfId="217" applyNumberFormat="1" applyFont="1" applyFill="1" applyAlignment="1">
      <alignment horizontal="left" indent="3"/>
    </xf>
    <xf numFmtId="1" fontId="74" fillId="0" borderId="0" xfId="161" applyNumberFormat="1" applyFont="1" applyAlignment="1" applyProtection="1">
      <alignment horizontal="center"/>
      <protection locked="0"/>
    </xf>
    <xf numFmtId="3" fontId="73" fillId="0" borderId="31" xfId="283" applyNumberFormat="1" applyFont="1" applyBorder="1" applyAlignment="1" applyProtection="1">
      <alignment horizontal="center"/>
      <protection locked="0"/>
    </xf>
    <xf numFmtId="3" fontId="74" fillId="0" borderId="0" xfId="0" applyNumberFormat="1" applyFont="1" applyAlignment="1" applyProtection="1">
      <alignment horizontal="center"/>
      <protection locked="0"/>
    </xf>
    <xf numFmtId="3" fontId="82" fillId="0" borderId="0" xfId="359" applyNumberFormat="1" applyFont="1" applyAlignment="1" applyProtection="1">
      <alignment horizontal="center"/>
      <protection locked="0"/>
    </xf>
    <xf numFmtId="3" fontId="80" fillId="0" borderId="31" xfId="359" applyNumberFormat="1" applyFont="1" applyBorder="1" applyAlignment="1" applyProtection="1">
      <alignment horizontal="center"/>
      <protection locked="0"/>
    </xf>
    <xf numFmtId="9" fontId="74" fillId="0" borderId="0" xfId="359" applyNumberFormat="1" applyFont="1" applyAlignment="1" applyProtection="1">
      <alignment horizontal="center"/>
      <protection locked="0"/>
    </xf>
    <xf numFmtId="9" fontId="73" fillId="0" borderId="0" xfId="359" applyNumberFormat="1" applyFont="1" applyAlignment="1" applyProtection="1">
      <alignment horizontal="center"/>
      <protection locked="0"/>
    </xf>
    <xf numFmtId="9" fontId="73" fillId="0" borderId="31" xfId="359" applyNumberFormat="1" applyFont="1" applyBorder="1" applyAlignment="1">
      <alignment horizontal="center"/>
    </xf>
    <xf numFmtId="3" fontId="74" fillId="0" borderId="0" xfId="361" applyNumberFormat="1" applyFont="1" applyAlignment="1" applyProtection="1">
      <alignment horizontal="center"/>
      <protection locked="0"/>
    </xf>
    <xf numFmtId="3" fontId="73" fillId="0" borderId="31" xfId="361" applyNumberFormat="1" applyFont="1" applyBorder="1" applyAlignment="1" applyProtection="1">
      <alignment horizontal="center"/>
      <protection locked="0"/>
    </xf>
    <xf numFmtId="9" fontId="74" fillId="49" borderId="0" xfId="161" applyNumberFormat="1" applyFont="1" applyFill="1" applyAlignment="1">
      <alignment horizontal="center" wrapText="1"/>
    </xf>
    <xf numFmtId="3" fontId="80" fillId="0" borderId="0" xfId="161" applyNumberFormat="1" applyFont="1" applyAlignment="1" applyProtection="1">
      <alignment horizontal="center"/>
      <protection locked="0"/>
    </xf>
    <xf numFmtId="3" fontId="74" fillId="0" borderId="0" xfId="283" applyNumberFormat="1" applyFont="1" applyAlignment="1" applyProtection="1">
      <alignment horizontal="center" wrapText="1"/>
      <protection locked="0"/>
    </xf>
    <xf numFmtId="192" fontId="73" fillId="0" borderId="0" xfId="161" applyNumberFormat="1" applyFont="1" applyAlignment="1" applyProtection="1">
      <alignment horizontal="center"/>
      <protection locked="0"/>
    </xf>
    <xf numFmtId="3" fontId="71" fillId="38" borderId="0" xfId="161" applyNumberFormat="1" applyFont="1" applyFill="1" applyAlignment="1" applyProtection="1">
      <alignment horizontal="center"/>
      <protection locked="0"/>
    </xf>
    <xf numFmtId="3" fontId="71" fillId="38" borderId="0" xfId="360" applyNumberFormat="1" applyFont="1" applyFill="1" applyProtection="1">
      <protection locked="0"/>
    </xf>
    <xf numFmtId="3" fontId="74" fillId="49" borderId="0" xfId="161" applyNumberFormat="1" applyFont="1" applyFill="1" applyAlignment="1">
      <alignment horizontal="center"/>
    </xf>
    <xf numFmtId="3" fontId="73" fillId="49" borderId="0" xfId="161" applyNumberFormat="1" applyFont="1" applyFill="1" applyAlignment="1">
      <alignment horizontal="center"/>
    </xf>
    <xf numFmtId="10" fontId="74" fillId="49" borderId="0" xfId="161" applyNumberFormat="1" applyFont="1" applyFill="1" applyAlignment="1" applyProtection="1">
      <alignment horizontal="center"/>
      <protection locked="0"/>
    </xf>
    <xf numFmtId="3" fontId="73" fillId="49" borderId="10" xfId="161" applyNumberFormat="1" applyFont="1" applyFill="1" applyBorder="1" applyAlignment="1">
      <alignment horizontal="center"/>
    </xf>
    <xf numFmtId="3" fontId="73" fillId="49" borderId="31" xfId="161" applyNumberFormat="1" applyFont="1" applyFill="1" applyBorder="1" applyAlignment="1">
      <alignment horizontal="center"/>
    </xf>
    <xf numFmtId="1" fontId="73" fillId="0" borderId="10" xfId="161" applyNumberFormat="1" applyFont="1" applyBorder="1" applyAlignment="1" applyProtection="1">
      <alignment horizontal="center"/>
      <protection locked="0"/>
    </xf>
    <xf numFmtId="1" fontId="73" fillId="0" borderId="31" xfId="161" applyNumberFormat="1" applyFont="1" applyBorder="1" applyAlignment="1" applyProtection="1">
      <alignment horizontal="center"/>
      <protection locked="0"/>
    </xf>
    <xf numFmtId="1" fontId="73" fillId="49" borderId="10" xfId="161" applyNumberFormat="1" applyFont="1" applyFill="1" applyBorder="1" applyAlignment="1" applyProtection="1">
      <alignment horizontal="center"/>
      <protection locked="0"/>
    </xf>
    <xf numFmtId="1" fontId="74" fillId="0" borderId="0" xfId="161" applyNumberFormat="1" applyFont="1" applyAlignment="1" applyProtection="1">
      <alignment horizontal="left"/>
      <protection locked="0"/>
    </xf>
    <xf numFmtId="1" fontId="71" fillId="38" borderId="0" xfId="161" applyNumberFormat="1" applyFont="1" applyFill="1" applyProtection="1">
      <protection locked="0"/>
    </xf>
    <xf numFmtId="3" fontId="74" fillId="0" borderId="0" xfId="161" applyNumberFormat="1" applyFont="1" applyAlignment="1">
      <alignment horizontal="left"/>
    </xf>
    <xf numFmtId="3" fontId="73" fillId="38" borderId="0" xfId="161" applyNumberFormat="1" applyFont="1" applyFill="1" applyAlignment="1">
      <alignment horizontal="center"/>
    </xf>
    <xf numFmtId="3" fontId="74" fillId="49" borderId="0" xfId="361" applyNumberFormat="1" applyFont="1" applyFill="1" applyAlignment="1" applyProtection="1">
      <alignment horizontal="center"/>
      <protection locked="0"/>
    </xf>
    <xf numFmtId="3" fontId="73" fillId="49" borderId="31" xfId="361" applyNumberFormat="1" applyFont="1" applyFill="1" applyBorder="1" applyAlignment="1" applyProtection="1">
      <alignment horizontal="center"/>
      <protection locked="0"/>
    </xf>
    <xf numFmtId="0" fontId="73" fillId="0" borderId="0" xfId="161" applyNumberFormat="1" applyFont="1" applyAlignment="1" applyProtection="1">
      <alignment horizontal="center" wrapText="1"/>
      <protection locked="0"/>
    </xf>
    <xf numFmtId="3" fontId="74" fillId="49" borderId="0" xfId="283" applyNumberFormat="1" applyFont="1" applyFill="1" applyAlignment="1" applyProtection="1">
      <alignment horizontal="center"/>
      <protection locked="0"/>
    </xf>
    <xf numFmtId="3" fontId="74" fillId="49" borderId="0" xfId="283" applyNumberFormat="1" applyFont="1" applyFill="1" applyAlignment="1" applyProtection="1">
      <alignment horizontal="center" wrapText="1"/>
      <protection locked="0"/>
    </xf>
    <xf numFmtId="3" fontId="74" fillId="49" borderId="0" xfId="0" applyNumberFormat="1" applyFont="1" applyFill="1" applyAlignment="1" applyProtection="1">
      <alignment horizontal="center"/>
      <protection locked="0"/>
    </xf>
    <xf numFmtId="3" fontId="74" fillId="0" borderId="0" xfId="161" applyNumberFormat="1" applyFont="1" applyAlignment="1" applyProtection="1">
      <alignment horizontal="left"/>
      <protection locked="0"/>
    </xf>
    <xf numFmtId="9" fontId="74" fillId="0" borderId="31" xfId="161" applyNumberFormat="1" applyFont="1" applyBorder="1" applyAlignment="1" applyProtection="1">
      <alignment horizontal="center"/>
      <protection locked="0"/>
    </xf>
    <xf numFmtId="193" fontId="0" fillId="0" borderId="0" xfId="0" applyNumberFormat="1" applyProtection="1">
      <protection locked="0"/>
    </xf>
    <xf numFmtId="17" fontId="80" fillId="0" borderId="0" xfId="161" quotePrefix="1" applyNumberFormat="1" applyFont="1" applyAlignment="1" applyProtection="1">
      <alignment horizontal="center"/>
      <protection locked="0"/>
    </xf>
    <xf numFmtId="3" fontId="80" fillId="49" borderId="31" xfId="359" applyNumberFormat="1" applyFont="1" applyFill="1" applyBorder="1" applyAlignment="1">
      <alignment horizontal="center"/>
    </xf>
    <xf numFmtId="166" fontId="74" fillId="47" borderId="0" xfId="359" applyNumberFormat="1" applyFont="1" applyFill="1" applyAlignment="1">
      <alignment horizontal="center"/>
    </xf>
    <xf numFmtId="2" fontId="74" fillId="0" borderId="0" xfId="161" applyNumberFormat="1" applyFont="1" applyAlignment="1">
      <alignment horizontal="center" wrapText="1"/>
    </xf>
    <xf numFmtId="3" fontId="80" fillId="0" borderId="0" xfId="362" applyNumberFormat="1" applyFont="1" applyProtection="1">
      <protection locked="0"/>
    </xf>
    <xf numFmtId="1" fontId="73" fillId="49" borderId="31" xfId="161" applyNumberFormat="1" applyFont="1" applyFill="1" applyBorder="1" applyAlignment="1" applyProtection="1">
      <alignment horizontal="center"/>
      <protection locked="0"/>
    </xf>
    <xf numFmtId="9" fontId="74" fillId="49" borderId="0" xfId="283" applyNumberFormat="1" applyFont="1" applyFill="1" applyAlignment="1" applyProtection="1">
      <alignment horizontal="center"/>
      <protection locked="0"/>
    </xf>
    <xf numFmtId="3" fontId="71" fillId="0" borderId="0" xfId="362" applyNumberFormat="1" applyFont="1" applyProtection="1">
      <protection locked="0"/>
    </xf>
    <xf numFmtId="3" fontId="71" fillId="38" borderId="0" xfId="361" applyNumberFormat="1" applyFont="1" applyFill="1" applyAlignment="1" applyProtection="1">
      <alignment horizontal="center"/>
      <protection locked="0"/>
    </xf>
    <xf numFmtId="0" fontId="74" fillId="0" borderId="0" xfId="0" applyFont="1" applyAlignment="1">
      <alignment horizontal="justify" vertical="center" wrapText="1"/>
    </xf>
    <xf numFmtId="9" fontId="74" fillId="0" borderId="0" xfId="283" applyNumberFormat="1" applyFont="1" applyAlignment="1" applyProtection="1">
      <alignment horizontal="center"/>
      <protection locked="0"/>
    </xf>
    <xf numFmtId="0" fontId="74" fillId="0" borderId="0" xfId="283" applyFont="1" applyAlignment="1">
      <alignment horizontal="center" wrapText="1"/>
    </xf>
    <xf numFmtId="10" fontId="74" fillId="0" borderId="0" xfId="0" applyNumberFormat="1" applyFont="1" applyAlignment="1" applyProtection="1">
      <alignment horizontal="center"/>
      <protection locked="0"/>
    </xf>
    <xf numFmtId="166" fontId="73" fillId="49" borderId="0" xfId="359" applyNumberFormat="1" applyFont="1" applyFill="1" applyAlignment="1">
      <alignment horizontal="center"/>
    </xf>
    <xf numFmtId="166" fontId="73" fillId="0" borderId="0" xfId="359" applyNumberFormat="1" applyFont="1" applyAlignment="1">
      <alignment horizontal="center"/>
    </xf>
    <xf numFmtId="192" fontId="80" fillId="0" borderId="0" xfId="359" applyNumberFormat="1" applyFont="1" applyAlignment="1" applyProtection="1">
      <alignment horizontal="center"/>
      <protection locked="0"/>
    </xf>
    <xf numFmtId="194" fontId="71" fillId="0" borderId="0" xfId="362" applyNumberFormat="1" applyFont="1" applyProtection="1">
      <protection locked="0"/>
    </xf>
    <xf numFmtId="3" fontId="73" fillId="0" borderId="10" xfId="161" applyNumberFormat="1" applyFont="1" applyBorder="1" applyAlignment="1" applyProtection="1">
      <alignment horizontal="center"/>
      <protection locked="0"/>
    </xf>
    <xf numFmtId="2" fontId="74" fillId="49" borderId="0" xfId="161" applyNumberFormat="1" applyFont="1" applyFill="1" applyAlignment="1" applyProtection="1">
      <alignment horizontal="center"/>
      <protection locked="0"/>
    </xf>
    <xf numFmtId="0" fontId="82" fillId="0" borderId="0" xfId="362" applyFont="1" applyProtection="1">
      <protection locked="0"/>
    </xf>
    <xf numFmtId="0" fontId="74" fillId="0" borderId="0" xfId="362" applyFont="1" applyProtection="1">
      <protection locked="0"/>
    </xf>
    <xf numFmtId="3" fontId="82" fillId="49" borderId="0" xfId="161" applyNumberFormat="1" applyFont="1" applyFill="1" applyAlignment="1">
      <alignment horizontal="center"/>
    </xf>
    <xf numFmtId="3" fontId="80" fillId="49" borderId="0" xfId="161" applyNumberFormat="1" applyFont="1" applyFill="1" applyAlignment="1">
      <alignment horizontal="center"/>
    </xf>
    <xf numFmtId="3" fontId="80" fillId="49" borderId="0" xfId="161" applyNumberFormat="1" applyFont="1" applyFill="1" applyAlignment="1" applyProtection="1">
      <alignment horizontal="center"/>
      <protection locked="0"/>
    </xf>
    <xf numFmtId="10" fontId="74" fillId="49" borderId="0" xfId="161" applyNumberFormat="1" applyFont="1" applyFill="1" applyAlignment="1">
      <alignment horizontal="center" wrapText="1"/>
    </xf>
    <xf numFmtId="166" fontId="74" fillId="49" borderId="0" xfId="161" applyNumberFormat="1" applyFont="1" applyFill="1" applyAlignment="1">
      <alignment horizontal="center" wrapText="1"/>
    </xf>
    <xf numFmtId="2" fontId="74" fillId="49" borderId="0" xfId="161" applyNumberFormat="1" applyFont="1" applyFill="1" applyAlignment="1">
      <alignment horizontal="center" wrapText="1"/>
    </xf>
    <xf numFmtId="3" fontId="118" fillId="0" borderId="0" xfId="0" applyNumberFormat="1" applyFont="1" applyProtection="1">
      <protection locked="0"/>
    </xf>
    <xf numFmtId="191" fontId="0" fillId="50" borderId="0" xfId="0" applyNumberFormat="1" applyFill="1" applyProtection="1">
      <protection locked="0"/>
    </xf>
    <xf numFmtId="1" fontId="0" fillId="50" borderId="0" xfId="0" applyNumberFormat="1" applyFill="1" applyProtection="1">
      <protection locked="0"/>
    </xf>
    <xf numFmtId="0" fontId="75" fillId="0" borderId="0" xfId="161" applyNumberFormat="1" applyFont="1" applyAlignment="1" applyProtection="1">
      <alignment horizontal="left" vertical="center"/>
      <protection locked="0"/>
    </xf>
    <xf numFmtId="0" fontId="0" fillId="0" borderId="0" xfId="0" applyAlignment="1" applyProtection="1">
      <alignment horizontal="left" vertical="center"/>
      <protection locked="0"/>
    </xf>
    <xf numFmtId="0" fontId="82" fillId="0" borderId="0" xfId="240" applyFont="1" applyAlignment="1" applyProtection="1">
      <alignment wrapText="1"/>
      <protection locked="0"/>
    </xf>
    <xf numFmtId="9" fontId="73" fillId="49" borderId="0" xfId="359" applyNumberFormat="1" applyFont="1" applyFill="1" applyAlignment="1">
      <alignment horizontal="center"/>
    </xf>
    <xf numFmtId="166" fontId="82" fillId="49" borderId="0" xfId="161" applyNumberFormat="1" applyFont="1" applyFill="1" applyAlignment="1" applyProtection="1">
      <alignment horizontal="center"/>
      <protection locked="0"/>
    </xf>
    <xf numFmtId="166" fontId="82" fillId="0" borderId="0" xfId="161" applyNumberFormat="1" applyFont="1" applyAlignment="1" applyProtection="1">
      <alignment horizontal="center"/>
      <protection locked="0"/>
    </xf>
    <xf numFmtId="0" fontId="125" fillId="0" borderId="0" xfId="0" applyFont="1" applyProtection="1">
      <protection locked="0"/>
    </xf>
    <xf numFmtId="195" fontId="74" fillId="49" borderId="0" xfId="161" applyNumberFormat="1" applyFont="1" applyFill="1" applyAlignment="1" applyProtection="1">
      <alignment horizontal="center"/>
      <protection locked="0"/>
    </xf>
    <xf numFmtId="195" fontId="74" fillId="0" borderId="0" xfId="161" applyNumberFormat="1" applyFont="1" applyAlignment="1" applyProtection="1">
      <alignment horizontal="center"/>
      <protection locked="0"/>
    </xf>
    <xf numFmtId="166" fontId="74" fillId="49" borderId="0" xfId="359" applyNumberFormat="1" applyFont="1" applyFill="1" applyAlignment="1" applyProtection="1">
      <alignment horizontal="center"/>
      <protection locked="0"/>
    </xf>
    <xf numFmtId="166" fontId="74" fillId="0" borderId="0" xfId="359" applyNumberFormat="1" applyFont="1" applyAlignment="1" applyProtection="1">
      <alignment horizontal="center"/>
      <protection locked="0"/>
    </xf>
    <xf numFmtId="192" fontId="71" fillId="0" borderId="0" xfId="362" applyNumberFormat="1" applyFont="1" applyProtection="1">
      <protection locked="0"/>
    </xf>
    <xf numFmtId="192" fontId="71" fillId="38" borderId="0" xfId="361" applyNumberFormat="1" applyFont="1" applyFill="1" applyAlignment="1" applyProtection="1">
      <alignment horizontal="center"/>
      <protection locked="0"/>
    </xf>
    <xf numFmtId="192" fontId="80" fillId="0" borderId="0" xfId="362" applyNumberFormat="1" applyFont="1" applyProtection="1">
      <protection locked="0"/>
    </xf>
    <xf numFmtId="0" fontId="0" fillId="46" borderId="0" xfId="0" applyFill="1"/>
    <xf numFmtId="0" fontId="0" fillId="46" borderId="0" xfId="0" applyFill="1" applyAlignment="1">
      <alignment horizontal="center"/>
    </xf>
    <xf numFmtId="0" fontId="132" fillId="46" borderId="0" xfId="0" applyFont="1" applyFill="1" applyAlignment="1">
      <alignment horizontal="center"/>
    </xf>
    <xf numFmtId="0" fontId="128" fillId="46" borderId="0" xfId="0" applyFont="1" applyFill="1" applyAlignment="1">
      <alignment horizontal="justify" vertical="center"/>
    </xf>
    <xf numFmtId="0" fontId="129" fillId="46" borderId="0" xfId="0" applyFont="1" applyFill="1" applyAlignment="1">
      <alignment horizontal="justify" vertical="center"/>
    </xf>
    <xf numFmtId="0" fontId="130" fillId="46" borderId="0" xfId="0" applyFont="1" applyFill="1" applyAlignment="1">
      <alignment horizontal="justify" vertical="center"/>
    </xf>
    <xf numFmtId="0" fontId="131" fillId="46" borderId="0" xfId="0" applyFont="1" applyFill="1" applyAlignment="1">
      <alignment horizontal="justify" vertical="center"/>
    </xf>
    <xf numFmtId="0" fontId="131" fillId="46" borderId="0" xfId="0" applyFont="1" applyFill="1" applyAlignment="1">
      <alignment vertical="center"/>
    </xf>
    <xf numFmtId="192" fontId="74" fillId="0" borderId="0" xfId="161" applyNumberFormat="1" applyFont="1" applyAlignment="1" applyProtection="1">
      <alignment horizontal="center"/>
      <protection locked="0"/>
    </xf>
    <xf numFmtId="3" fontId="80" fillId="0" borderId="0" xfId="359" applyNumberFormat="1" applyFont="1" applyAlignment="1" applyProtection="1">
      <alignment horizontal="center"/>
      <protection locked="0"/>
    </xf>
    <xf numFmtId="17" fontId="80" fillId="49" borderId="0" xfId="161" quotePrefix="1" applyNumberFormat="1" applyFont="1" applyFill="1" applyAlignment="1" applyProtection="1">
      <alignment horizontal="center"/>
      <protection locked="0"/>
    </xf>
    <xf numFmtId="1" fontId="74" fillId="47" borderId="0" xfId="359" applyNumberFormat="1" applyFont="1" applyFill="1" applyAlignment="1">
      <alignment horizontal="center"/>
    </xf>
    <xf numFmtId="0" fontId="133" fillId="0" borderId="0" xfId="161" applyNumberFormat="1" applyFont="1" applyProtection="1">
      <protection locked="0"/>
    </xf>
    <xf numFmtId="196" fontId="3" fillId="0" borderId="0" xfId="283" applyNumberFormat="1" applyProtection="1">
      <protection locked="0"/>
    </xf>
    <xf numFmtId="0" fontId="74" fillId="49" borderId="0" xfId="283" applyFont="1" applyFill="1" applyAlignment="1">
      <alignment horizontal="center"/>
    </xf>
    <xf numFmtId="0" fontId="74" fillId="49" borderId="0" xfId="283" applyFont="1" applyFill="1" applyAlignment="1">
      <alignment horizontal="center" wrapText="1"/>
    </xf>
    <xf numFmtId="192" fontId="74" fillId="0" borderId="0" xfId="0" applyNumberFormat="1" applyFont="1" applyProtection="1">
      <protection locked="0"/>
    </xf>
    <xf numFmtId="0" fontId="115" fillId="38" borderId="0" xfId="161" applyNumberFormat="1" applyFont="1" applyFill="1" applyAlignment="1">
      <alignment horizontal="left" vertical="center"/>
    </xf>
    <xf numFmtId="0" fontId="74" fillId="0" borderId="0" xfId="0" applyFont="1"/>
    <xf numFmtId="0" fontId="82" fillId="0" borderId="0" xfId="0" applyFont="1" applyAlignment="1">
      <alignment horizontal="left" vertical="center" wrapText="1"/>
    </xf>
    <xf numFmtId="0" fontId="75" fillId="0" borderId="0" xfId="161" applyNumberFormat="1" applyFont="1" applyAlignment="1" applyProtection="1">
      <alignment horizontal="left" vertical="center" wrapText="1"/>
      <protection locked="0"/>
    </xf>
    <xf numFmtId="0" fontId="75" fillId="0" borderId="0" xfId="161" applyNumberFormat="1" applyFont="1" applyAlignment="1" applyProtection="1">
      <alignment horizontal="left" wrapText="1"/>
      <protection locked="0"/>
    </xf>
    <xf numFmtId="0" fontId="0" fillId="0" borderId="0" xfId="0" applyAlignment="1" applyProtection="1">
      <alignment horizontal="left" vertical="center" wrapText="1"/>
      <protection locked="0"/>
    </xf>
    <xf numFmtId="0" fontId="75" fillId="0" borderId="0" xfId="161" applyNumberFormat="1" applyFont="1" applyAlignment="1" applyProtection="1">
      <alignment horizontal="left" vertical="top" wrapText="1"/>
      <protection locked="0"/>
    </xf>
    <xf numFmtId="0" fontId="72" fillId="39" borderId="0" xfId="161" applyNumberFormat="1" applyFont="1" applyFill="1" applyAlignment="1" applyProtection="1">
      <alignment horizontal="left" vertical="top" wrapText="1"/>
      <protection locked="0"/>
    </xf>
    <xf numFmtId="0" fontId="75" fillId="0" borderId="0" xfId="361" applyNumberFormat="1" applyFont="1" applyAlignment="1" applyProtection="1">
      <alignment horizontal="left" wrapText="1"/>
      <protection locked="0"/>
    </xf>
    <xf numFmtId="0" fontId="122" fillId="48" borderId="0" xfId="0" applyFont="1" applyFill="1" applyAlignment="1" applyProtection="1">
      <alignment horizontal="center"/>
      <protection locked="0"/>
    </xf>
    <xf numFmtId="0" fontId="75" fillId="0" borderId="0" xfId="361" applyNumberFormat="1" applyFont="1" applyAlignment="1" applyProtection="1">
      <alignment horizontal="left" vertical="center" wrapText="1"/>
      <protection locked="0"/>
    </xf>
  </cellXfs>
  <cellStyles count="367">
    <cellStyle name="_x000a_386grabber=S" xfId="3" xr:uid="{00000000-0005-0000-0000-000000000000}"/>
    <cellStyle name="???????_fin1" xfId="4" xr:uid="{00000000-0005-0000-0000-000001000000}"/>
    <cellStyle name="]_x000d__x000a_Extension=conv.dll_x000d__x000a_MS-DOS Tools Extentions=C:\DOS\MSTOOLS.DLL_x000d__x000a__x000d__x000a_[Settings]_x000d__x000a_UNDELETE.DLL=C:\DOS\MSTOOLS.DLL_x000d__x000a_W" xfId="5" xr:uid="{00000000-0005-0000-0000-000002000000}"/>
    <cellStyle name="_Book2" xfId="6" xr:uid="{00000000-0005-0000-0000-000003000000}"/>
    <cellStyle name="_Book2 2" xfId="7" xr:uid="{00000000-0005-0000-0000-000004000000}"/>
    <cellStyle name="_Book2 2 2" xfId="364" xr:uid="{00000000-0005-0000-0000-000005000000}"/>
    <cellStyle name="_Book2 3" xfId="363" xr:uid="{00000000-0005-0000-0000-000006000000}"/>
    <cellStyle name="_Column1" xfId="8" xr:uid="{00000000-0005-0000-0000-000007000000}"/>
    <cellStyle name="_Column2" xfId="9" xr:uid="{00000000-0005-0000-0000-000008000000}"/>
    <cellStyle name="_Column3" xfId="10" xr:uid="{00000000-0005-0000-0000-000009000000}"/>
    <cellStyle name="_Column4" xfId="11" xr:uid="{00000000-0005-0000-0000-00000A000000}"/>
    <cellStyle name="_Column4_IR Toolkit New" xfId="12" xr:uid="{00000000-0005-0000-0000-00000B000000}"/>
    <cellStyle name="_Column4_IR Toolkit New 2" xfId="13" xr:uid="{00000000-0005-0000-0000-00000C000000}"/>
    <cellStyle name="_Column4_IR Toolkit New_PIIGS 201109 disclosure" xfId="14" xr:uid="{00000000-0005-0000-0000-00000D000000}"/>
    <cellStyle name="_Column5" xfId="15" xr:uid="{00000000-0005-0000-0000-00000E000000}"/>
    <cellStyle name="_Column6" xfId="16" xr:uid="{00000000-0005-0000-0000-00000F000000}"/>
    <cellStyle name="_Column7" xfId="17" xr:uid="{00000000-0005-0000-0000-000010000000}"/>
    <cellStyle name="_Column7 2" xfId="18" xr:uid="{00000000-0005-0000-0000-000011000000}"/>
    <cellStyle name="_Column7_091030_Credit risk template_asset_quality" xfId="19" xr:uid="{00000000-0005-0000-0000-000012000000}"/>
    <cellStyle name="_Column7_091030_Credit risk template_asset_quality 2" xfId="20" xr:uid="{00000000-0005-0000-0000-000013000000}"/>
    <cellStyle name="_Column7_2007 Group Reporting Template" xfId="21" xr:uid="{00000000-0005-0000-0000-000014000000}"/>
    <cellStyle name="_Column7_2007 Group Reporting Template 2" xfId="22" xr:uid="{00000000-0005-0000-0000-000015000000}"/>
    <cellStyle name="_Column7_Accounting template" xfId="23" xr:uid="{00000000-0005-0000-0000-000016000000}"/>
    <cellStyle name="_Column7_Accounting template 2" xfId="24" xr:uid="{00000000-0005-0000-0000-000017000000}"/>
    <cellStyle name="_Column7_IR Toolkit New" xfId="25" xr:uid="{00000000-0005-0000-0000-000018000000}"/>
    <cellStyle name="_Column7_IR Toolkit New 2" xfId="26" xr:uid="{00000000-0005-0000-0000-000019000000}"/>
    <cellStyle name="_Data" xfId="27" xr:uid="{00000000-0005-0000-0000-00001A000000}"/>
    <cellStyle name="_Data 2" xfId="28" xr:uid="{00000000-0005-0000-0000-00001B000000}"/>
    <cellStyle name="_Header" xfId="29" xr:uid="{00000000-0005-0000-0000-00001C000000}"/>
    <cellStyle name="_Mappe3" xfId="30" xr:uid="{00000000-0005-0000-0000-00001D000000}"/>
    <cellStyle name="_Mappe3 2" xfId="31" xr:uid="{00000000-0005-0000-0000-00001E000000}"/>
    <cellStyle name="_Mappe3_PIIGS 201109 disclosure" xfId="32" xr:uid="{00000000-0005-0000-0000-00001F000000}"/>
    <cellStyle name="_Mappe3_PIIGS 201109 disclosure 2" xfId="33" xr:uid="{00000000-0005-0000-0000-000020000000}"/>
    <cellStyle name="_Row1" xfId="34" xr:uid="{00000000-0005-0000-0000-000021000000}"/>
    <cellStyle name="_Row2" xfId="35" xr:uid="{00000000-0005-0000-0000-000022000000}"/>
    <cellStyle name="_Row3" xfId="36" xr:uid="{00000000-0005-0000-0000-000023000000}"/>
    <cellStyle name="_Row4" xfId="37" xr:uid="{00000000-0005-0000-0000-000024000000}"/>
    <cellStyle name="_Row4 2" xfId="38" xr:uid="{00000000-0005-0000-0000-000025000000}"/>
    <cellStyle name="_Row5" xfId="39" xr:uid="{00000000-0005-0000-0000-000026000000}"/>
    <cellStyle name="_Row6" xfId="40" xr:uid="{00000000-0005-0000-0000-000027000000}"/>
    <cellStyle name="_Row7" xfId="41" xr:uid="{00000000-0005-0000-0000-000028000000}"/>
    <cellStyle name="_Row7 2" xfId="42" xr:uid="{00000000-0005-0000-0000-000029000000}"/>
    <cellStyle name="_Row7_091030_Credit risk template_asset_quality" xfId="43" xr:uid="{00000000-0005-0000-0000-00002A000000}"/>
    <cellStyle name="_Row7_091030_Credit risk template_asset_quality 2" xfId="44" xr:uid="{00000000-0005-0000-0000-00002B000000}"/>
    <cellStyle name="_Row7_2007 Group Reporting Template" xfId="45" xr:uid="{00000000-0005-0000-0000-00002C000000}"/>
    <cellStyle name="_Row7_2007 Group Reporting Template 2" xfId="46" xr:uid="{00000000-0005-0000-0000-00002D000000}"/>
    <cellStyle name="_Row7_Accounting template" xfId="47" xr:uid="{00000000-0005-0000-0000-00002E000000}"/>
    <cellStyle name="_Row7_Accounting template 2" xfId="48" xr:uid="{00000000-0005-0000-0000-00002F000000}"/>
    <cellStyle name="_Row7_IR Toolkit New" xfId="49" xr:uid="{00000000-0005-0000-0000-000030000000}"/>
    <cellStyle name="_Row7_IR Toolkit New 2" xfId="50" xr:uid="{00000000-0005-0000-0000-000031000000}"/>
    <cellStyle name="=D:\WINNT\SYSTEM32\COMMAND.COM" xfId="51" xr:uid="{00000000-0005-0000-0000-000032000000}"/>
    <cellStyle name="=D:\WINNT\SYSTEM32\COMMAND.COM 2" xfId="52" xr:uid="{00000000-0005-0000-0000-000033000000}"/>
    <cellStyle name="0,0x" xfId="53" xr:uid="{00000000-0005-0000-0000-000034000000}"/>
    <cellStyle name="0,0x 2" xfId="54" xr:uid="{00000000-0005-0000-0000-000035000000}"/>
    <cellStyle name="0mitP" xfId="55" xr:uid="{00000000-0005-0000-0000-000036000000}"/>
    <cellStyle name="0ohneP" xfId="56" xr:uid="{00000000-0005-0000-0000-000037000000}"/>
    <cellStyle name="0ohneP 2" xfId="365" xr:uid="{00000000-0005-0000-0000-000038000000}"/>
    <cellStyle name="1 000 ke" xfId="57" xr:uid="{00000000-0005-0000-0000-000039000000}"/>
    <cellStyle name="10mitP" xfId="58" xr:uid="{00000000-0005-0000-0000-00003A000000}"/>
    <cellStyle name="12mitP" xfId="59" xr:uid="{00000000-0005-0000-0000-00003B000000}"/>
    <cellStyle name="12ohneP" xfId="60" xr:uid="{00000000-0005-0000-0000-00003C000000}"/>
    <cellStyle name="13mitP" xfId="61" xr:uid="{00000000-0005-0000-0000-00003D000000}"/>
    <cellStyle name="1mitP" xfId="62" xr:uid="{00000000-0005-0000-0000-00003E000000}"/>
    <cellStyle name="1ohneP" xfId="63" xr:uid="{00000000-0005-0000-0000-00003F000000}"/>
    <cellStyle name="20 % – Zvýrazn?ní1" xfId="64" xr:uid="{00000000-0005-0000-0000-000040000000}"/>
    <cellStyle name="20 % – Zvýrazn?ní2" xfId="65" xr:uid="{00000000-0005-0000-0000-000041000000}"/>
    <cellStyle name="20 % – Zvýrazn?ní3" xfId="66" xr:uid="{00000000-0005-0000-0000-000042000000}"/>
    <cellStyle name="20 % – Zvýrazn?ní4" xfId="67" xr:uid="{00000000-0005-0000-0000-000043000000}"/>
    <cellStyle name="20 % – Zvýrazn?ní5" xfId="68" xr:uid="{00000000-0005-0000-0000-000044000000}"/>
    <cellStyle name="20 % – Zvýrazn?ní6" xfId="69" xr:uid="{00000000-0005-0000-0000-000045000000}"/>
    <cellStyle name="20 % – Zvýraznění1" xfId="70" xr:uid="{00000000-0005-0000-0000-000046000000}"/>
    <cellStyle name="20 % – Zvýraznění2" xfId="71" xr:uid="{00000000-0005-0000-0000-000047000000}"/>
    <cellStyle name="20 % – Zvýraznění3" xfId="72" xr:uid="{00000000-0005-0000-0000-000048000000}"/>
    <cellStyle name="20 % – Zvýraznění4" xfId="73" xr:uid="{00000000-0005-0000-0000-000049000000}"/>
    <cellStyle name="20 % – Zvýraznění5" xfId="74" xr:uid="{00000000-0005-0000-0000-00004A000000}"/>
    <cellStyle name="20 % – Zvýraznění6" xfId="75" xr:uid="{00000000-0005-0000-0000-00004B000000}"/>
    <cellStyle name="20% - Énfasis1 2" xfId="243" xr:uid="{00000000-0005-0000-0000-00004C000000}"/>
    <cellStyle name="20% - Énfasis2 2" xfId="244" xr:uid="{00000000-0005-0000-0000-00004D000000}"/>
    <cellStyle name="20% - Énfasis3 2" xfId="245" xr:uid="{00000000-0005-0000-0000-00004E000000}"/>
    <cellStyle name="20% - Énfasis4 2" xfId="246" xr:uid="{00000000-0005-0000-0000-00004F000000}"/>
    <cellStyle name="20% - Énfasis5 2" xfId="247" xr:uid="{00000000-0005-0000-0000-000050000000}"/>
    <cellStyle name="20% - Énfasis6 2" xfId="248" xr:uid="{00000000-0005-0000-0000-000051000000}"/>
    <cellStyle name="2mitP" xfId="76" xr:uid="{00000000-0005-0000-0000-000052000000}"/>
    <cellStyle name="2ohneP" xfId="77" xr:uid="{00000000-0005-0000-0000-000053000000}"/>
    <cellStyle name="3mitP" xfId="78" xr:uid="{00000000-0005-0000-0000-000054000000}"/>
    <cellStyle name="3ohneP" xfId="79" xr:uid="{00000000-0005-0000-0000-000055000000}"/>
    <cellStyle name="40 % – Zvýrazn?ní1" xfId="80" xr:uid="{00000000-0005-0000-0000-000056000000}"/>
    <cellStyle name="40 % – Zvýrazn?ní2" xfId="81" xr:uid="{00000000-0005-0000-0000-000057000000}"/>
    <cellStyle name="40 % – Zvýrazn?ní3" xfId="82" xr:uid="{00000000-0005-0000-0000-000058000000}"/>
    <cellStyle name="40 % – Zvýrazn?ní4" xfId="83" xr:uid="{00000000-0005-0000-0000-000059000000}"/>
    <cellStyle name="40 % – Zvýrazn?ní5" xfId="84" xr:uid="{00000000-0005-0000-0000-00005A000000}"/>
    <cellStyle name="40 % – Zvýrazn?ní6" xfId="85" xr:uid="{00000000-0005-0000-0000-00005B000000}"/>
    <cellStyle name="40 % – Zvýraznění1" xfId="86" xr:uid="{00000000-0005-0000-0000-00005C000000}"/>
    <cellStyle name="40 % – Zvýraznění2" xfId="87" xr:uid="{00000000-0005-0000-0000-00005D000000}"/>
    <cellStyle name="40 % – Zvýraznění3" xfId="88" xr:uid="{00000000-0005-0000-0000-00005E000000}"/>
    <cellStyle name="40 % – Zvýraznění4" xfId="89" xr:uid="{00000000-0005-0000-0000-00005F000000}"/>
    <cellStyle name="40 % – Zvýraznění5" xfId="90" xr:uid="{00000000-0005-0000-0000-000060000000}"/>
    <cellStyle name="40 % – Zvýraznění6" xfId="91" xr:uid="{00000000-0005-0000-0000-000061000000}"/>
    <cellStyle name="40% - Énfasis1 2" xfId="249" xr:uid="{00000000-0005-0000-0000-000062000000}"/>
    <cellStyle name="40% - Énfasis2 2" xfId="250" xr:uid="{00000000-0005-0000-0000-000063000000}"/>
    <cellStyle name="40% - Énfasis3 2" xfId="251" xr:uid="{00000000-0005-0000-0000-000064000000}"/>
    <cellStyle name="40% - Énfasis4 2" xfId="252" xr:uid="{00000000-0005-0000-0000-000065000000}"/>
    <cellStyle name="40% - Énfasis5 2" xfId="253" xr:uid="{00000000-0005-0000-0000-000066000000}"/>
    <cellStyle name="40% - Énfasis6 2" xfId="254" xr:uid="{00000000-0005-0000-0000-000067000000}"/>
    <cellStyle name="4mitP" xfId="92" xr:uid="{00000000-0005-0000-0000-000068000000}"/>
    <cellStyle name="4ohneP" xfId="93" xr:uid="{00000000-0005-0000-0000-000069000000}"/>
    <cellStyle name="60 % – Zvýrazn?ní1" xfId="94" xr:uid="{00000000-0005-0000-0000-00006A000000}"/>
    <cellStyle name="60 % – Zvýrazn?ní2" xfId="95" xr:uid="{00000000-0005-0000-0000-00006B000000}"/>
    <cellStyle name="60 % – Zvýrazn?ní3" xfId="96" xr:uid="{00000000-0005-0000-0000-00006C000000}"/>
    <cellStyle name="60 % – Zvýrazn?ní4" xfId="97" xr:uid="{00000000-0005-0000-0000-00006D000000}"/>
    <cellStyle name="60 % – Zvýrazn?ní5" xfId="98" xr:uid="{00000000-0005-0000-0000-00006E000000}"/>
    <cellStyle name="60 % – Zvýrazn?ní6" xfId="99" xr:uid="{00000000-0005-0000-0000-00006F000000}"/>
    <cellStyle name="60 % – Zvýraznění1" xfId="100" xr:uid="{00000000-0005-0000-0000-000070000000}"/>
    <cellStyle name="60 % – Zvýraznění2" xfId="101" xr:uid="{00000000-0005-0000-0000-000071000000}"/>
    <cellStyle name="60 % – Zvýraznění3" xfId="102" xr:uid="{00000000-0005-0000-0000-000072000000}"/>
    <cellStyle name="60 % – Zvýraznění4" xfId="103" xr:uid="{00000000-0005-0000-0000-000073000000}"/>
    <cellStyle name="60 % – Zvýraznění5" xfId="104" xr:uid="{00000000-0005-0000-0000-000074000000}"/>
    <cellStyle name="60 % – Zvýraznění6" xfId="105" xr:uid="{00000000-0005-0000-0000-000075000000}"/>
    <cellStyle name="60% - Énfasis1 2" xfId="255" xr:uid="{00000000-0005-0000-0000-000076000000}"/>
    <cellStyle name="60% - Énfasis2 2" xfId="256" xr:uid="{00000000-0005-0000-0000-000077000000}"/>
    <cellStyle name="60% - Énfasis3 2" xfId="257" xr:uid="{00000000-0005-0000-0000-000078000000}"/>
    <cellStyle name="60% - Énfasis4 2" xfId="258" xr:uid="{00000000-0005-0000-0000-000079000000}"/>
    <cellStyle name="60% - Énfasis5 2" xfId="259" xr:uid="{00000000-0005-0000-0000-00007A000000}"/>
    <cellStyle name="60% - Énfasis6 2" xfId="260" xr:uid="{00000000-0005-0000-0000-00007B000000}"/>
    <cellStyle name="6mitP" xfId="106" xr:uid="{00000000-0005-0000-0000-00007C000000}"/>
    <cellStyle name="6ohneP" xfId="107" xr:uid="{00000000-0005-0000-0000-00007D000000}"/>
    <cellStyle name="7mitP" xfId="108" xr:uid="{00000000-0005-0000-0000-00007E000000}"/>
    <cellStyle name="9mitP" xfId="109" xr:uid="{00000000-0005-0000-0000-00007F000000}"/>
    <cellStyle name="9ohneP" xfId="110" xr:uid="{00000000-0005-0000-0000-000080000000}"/>
    <cellStyle name="Accent1 2" xfId="218" xr:uid="{00000000-0005-0000-0000-000081000000}"/>
    <cellStyle name="Accent1 3" xfId="111" xr:uid="{00000000-0005-0000-0000-000082000000}"/>
    <cellStyle name="Accent2 2" xfId="219" xr:uid="{00000000-0005-0000-0000-000083000000}"/>
    <cellStyle name="Accent2 3" xfId="112" xr:uid="{00000000-0005-0000-0000-000084000000}"/>
    <cellStyle name="Accent3 2" xfId="220" xr:uid="{00000000-0005-0000-0000-000085000000}"/>
    <cellStyle name="Accent3 3" xfId="113" xr:uid="{00000000-0005-0000-0000-000086000000}"/>
    <cellStyle name="Accent4 2" xfId="221" xr:uid="{00000000-0005-0000-0000-000087000000}"/>
    <cellStyle name="Accent4 3" xfId="114" xr:uid="{00000000-0005-0000-0000-000088000000}"/>
    <cellStyle name="Accent5 2" xfId="222" xr:uid="{00000000-0005-0000-0000-000089000000}"/>
    <cellStyle name="Accent5 3" xfId="115" xr:uid="{00000000-0005-0000-0000-00008A000000}"/>
    <cellStyle name="Accent6 2" xfId="223" xr:uid="{00000000-0005-0000-0000-00008B000000}"/>
    <cellStyle name="Accent6 3" xfId="116" xr:uid="{00000000-0005-0000-0000-00008C000000}"/>
    <cellStyle name="Bad 2" xfId="224" xr:uid="{00000000-0005-0000-0000-00008D000000}"/>
    <cellStyle name="Bad 3" xfId="117" xr:uid="{00000000-0005-0000-0000-00008E000000}"/>
    <cellStyle name="Bé" xfId="261" xr:uid="{00000000-0005-0000-0000-00008F000000}"/>
    <cellStyle name="Buena 2" xfId="262" xr:uid="{00000000-0005-0000-0000-000090000000}"/>
    <cellStyle name="Càlcul" xfId="263" xr:uid="{00000000-0005-0000-0000-000091000000}"/>
    <cellStyle name="Cálculo 2" xfId="264" xr:uid="{00000000-0005-0000-0000-000092000000}"/>
    <cellStyle name="Cel·la de comprovació" xfId="265" xr:uid="{00000000-0005-0000-0000-000093000000}"/>
    <cellStyle name="Cel·la enllaçada" xfId="266" xr:uid="{00000000-0005-0000-0000-000094000000}"/>
    <cellStyle name="Celda de comprobación 2" xfId="267" xr:uid="{00000000-0005-0000-0000-000095000000}"/>
    <cellStyle name="Celda vinculada 2" xfId="268" xr:uid="{00000000-0005-0000-0000-000096000000}"/>
    <cellStyle name="Celkem" xfId="118" xr:uid="{00000000-0005-0000-0000-000097000000}"/>
    <cellStyle name="Check Cell 2" xfId="225" xr:uid="{00000000-0005-0000-0000-000098000000}"/>
    <cellStyle name="Check Cell 3" xfId="119" xr:uid="{00000000-0005-0000-0000-000099000000}"/>
    <cellStyle name="Chybn?" xfId="120" xr:uid="{00000000-0005-0000-0000-00009A000000}"/>
    <cellStyle name="Chybně" xfId="121" xr:uid="{00000000-0005-0000-0000-00009B000000}"/>
    <cellStyle name="Comma 0" xfId="122" xr:uid="{00000000-0005-0000-0000-00009C000000}"/>
    <cellStyle name="Comma 0*" xfId="123" xr:uid="{00000000-0005-0000-0000-00009D000000}"/>
    <cellStyle name="Comma 2" xfId="124" xr:uid="{00000000-0005-0000-0000-00009E000000}"/>
    <cellStyle name="Comma 3" xfId="242" xr:uid="{00000000-0005-0000-0000-00009F000000}"/>
    <cellStyle name="Currency 0" xfId="125" xr:uid="{00000000-0005-0000-0000-0000A0000000}"/>
    <cellStyle name="Currency 2" xfId="126" xr:uid="{00000000-0005-0000-0000-0000A1000000}"/>
    <cellStyle name="Date Aligned" xfId="127" xr:uid="{00000000-0005-0000-0000-0000A2000000}"/>
    <cellStyle name="Dotted Line" xfId="128" xr:uid="{00000000-0005-0000-0000-0000A3000000}"/>
    <cellStyle name="E?rky" xfId="129" xr:uid="{00000000-0005-0000-0000-0000A4000000}"/>
    <cellStyle name="E?rky [0]" xfId="130" xr:uid="{00000000-0005-0000-0000-0000A5000000}"/>
    <cellStyle name="Eárky" xfId="131" xr:uid="{00000000-0005-0000-0000-0000A6000000}"/>
    <cellStyle name="Eárky [0]" xfId="132" xr:uid="{00000000-0005-0000-0000-0000A7000000}"/>
    <cellStyle name="Eárky_predikce-26.6.2002" xfId="133" xr:uid="{00000000-0005-0000-0000-0000A8000000}"/>
    <cellStyle name="Encabezado 4 2" xfId="269" xr:uid="{00000000-0005-0000-0000-0000A9000000}"/>
    <cellStyle name="Énfasis1 2" xfId="270" xr:uid="{00000000-0005-0000-0000-0000AA000000}"/>
    <cellStyle name="Énfasis2 2" xfId="271" xr:uid="{00000000-0005-0000-0000-0000AB000000}"/>
    <cellStyle name="Énfasis3 2" xfId="272" xr:uid="{00000000-0005-0000-0000-0000AC000000}"/>
    <cellStyle name="Énfasis4 2" xfId="273" xr:uid="{00000000-0005-0000-0000-0000AD000000}"/>
    <cellStyle name="Énfasis5 2" xfId="274" xr:uid="{00000000-0005-0000-0000-0000AE000000}"/>
    <cellStyle name="Énfasis6 2" xfId="275" xr:uid="{00000000-0005-0000-0000-0000AF000000}"/>
    <cellStyle name="Entrada 2" xfId="276" xr:uid="{00000000-0005-0000-0000-0000B0000000}"/>
    <cellStyle name="Euro" xfId="134" xr:uid="{00000000-0005-0000-0000-0000B1000000}"/>
    <cellStyle name="Footnote" xfId="135" xr:uid="{00000000-0005-0000-0000-0000B2000000}"/>
    <cellStyle name="Fuss" xfId="136" xr:uid="{00000000-0005-0000-0000-0000B3000000}"/>
    <cellStyle name="Good 2" xfId="226" xr:uid="{00000000-0005-0000-0000-0000B4000000}"/>
    <cellStyle name="Good 3" xfId="137" xr:uid="{00000000-0005-0000-0000-0000B5000000}"/>
    <cellStyle name="Hard Percent" xfId="138" xr:uid="{00000000-0005-0000-0000-0000B6000000}"/>
    <cellStyle name="Header" xfId="139" xr:uid="{00000000-0005-0000-0000-0000B7000000}"/>
    <cellStyle name="Heading 1 2" xfId="227" xr:uid="{00000000-0005-0000-0000-0000B8000000}"/>
    <cellStyle name="Heading 1 3" xfId="140" xr:uid="{00000000-0005-0000-0000-0000B9000000}"/>
    <cellStyle name="Heading 2 2" xfId="228" xr:uid="{00000000-0005-0000-0000-0000BA000000}"/>
    <cellStyle name="Heading 2 3" xfId="141" xr:uid="{00000000-0005-0000-0000-0000BB000000}"/>
    <cellStyle name="Heading 3 2" xfId="229" xr:uid="{00000000-0005-0000-0000-0000BC000000}"/>
    <cellStyle name="Heading 3 3" xfId="142" xr:uid="{00000000-0005-0000-0000-0000BD000000}"/>
    <cellStyle name="Heading 4 2" xfId="230" xr:uid="{00000000-0005-0000-0000-0000BE000000}"/>
    <cellStyle name="Heading 4 3" xfId="143" xr:uid="{00000000-0005-0000-0000-0000BF000000}"/>
    <cellStyle name="Historical" xfId="144" xr:uid="{00000000-0005-0000-0000-0000C0000000}"/>
    <cellStyle name="Historical%" xfId="145" xr:uid="{00000000-0005-0000-0000-0000C1000000}"/>
    <cellStyle name="Hyperlink" xfId="217" builtinId="8"/>
    <cellStyle name="Hypertextový odkaz" xfId="146" xr:uid="{00000000-0005-0000-0000-0000C3000000}"/>
    <cellStyle name="Hypertextový odkaz 2" xfId="147" xr:uid="{00000000-0005-0000-0000-0000C4000000}"/>
    <cellStyle name="Incorrecte" xfId="277" xr:uid="{00000000-0005-0000-0000-0000C5000000}"/>
    <cellStyle name="Incorrecto 2" xfId="278" xr:uid="{00000000-0005-0000-0000-0000C6000000}"/>
    <cellStyle name="Input%" xfId="148" xr:uid="{00000000-0005-0000-0000-0000C7000000}"/>
    <cellStyle name="Kontrolní bu?ka" xfId="149" xr:uid="{00000000-0005-0000-0000-0000C8000000}"/>
    <cellStyle name="Kontrolní buňka" xfId="150" xr:uid="{00000000-0005-0000-0000-0000C9000000}"/>
    <cellStyle name="Linked Cell 2" xfId="231" xr:uid="{00000000-0005-0000-0000-0000CA000000}"/>
    <cellStyle name="Linked Cell 3" xfId="151" xr:uid="{00000000-0005-0000-0000-0000CB000000}"/>
    <cellStyle name="MAND_x000d_CHECK.COMMAND_x000e_RENAME.COMMAND_x0008_SHOW.BAR_x000b_DELETE.MENU_x000e_DELETE.COMMAND_x000e_GET.CHA" xfId="152" xr:uid="{00000000-0005-0000-0000-0000CC000000}"/>
    <cellStyle name="MAND_x000d_CHECK.COMMAND_x000e_RENAME.COMMAND_x0008_SHOW.BAR_x000b_DELETE.MENU_x000e_DELETE.COMMAND_x000e_GET.CHA 2" xfId="153" xr:uid="{00000000-0005-0000-0000-0000CD000000}"/>
    <cellStyle name="MAND_x000d_CHECK.COMMAND_x000e_RENAME.COMMAND_x0008_SHOW.BAR_x000b_DELETE.MENU_x000e_DELETE.COMMAND_x000e_GET.CHA 3" xfId="154" xr:uid="{00000000-0005-0000-0000-0000CE000000}"/>
    <cellStyle name="MAND_x000d_CHECK.COMMAND_x000e_RENAME.COMMAND_x0008_SHOW.BAR_x000b_DELETE.MENU_x000e_DELETE.COMMAND_x000e_GET.CHA_New_Tables_Final" xfId="232" xr:uid="{00000000-0005-0000-0000-0000CF000000}"/>
    <cellStyle name="Millares 2" xfId="279" xr:uid="{00000000-0005-0000-0000-0000D0000000}"/>
    <cellStyle name="Millares 3" xfId="280" xr:uid="{00000000-0005-0000-0000-0000D1000000}"/>
    <cellStyle name="Miny" xfId="155" xr:uid="{00000000-0005-0000-0000-0000D2000000}"/>
    <cellStyle name="mitP" xfId="156" xr:uid="{00000000-0005-0000-0000-0000D3000000}"/>
    <cellStyle name="Multiple" xfId="157" xr:uid="{00000000-0005-0000-0000-0000D4000000}"/>
    <cellStyle name="Název" xfId="158" xr:uid="{00000000-0005-0000-0000-0000D5000000}"/>
    <cellStyle name="Neutral 2" xfId="281" xr:uid="{00000000-0005-0000-0000-0000D6000000}"/>
    <cellStyle name="Neutrální" xfId="159" xr:uid="{00000000-0005-0000-0000-0000D7000000}"/>
    <cellStyle name="No-definido" xfId="282" xr:uid="{00000000-0005-0000-0000-0000D8000000}"/>
    <cellStyle name="Norm?ln?" xfId="160" xr:uid="{00000000-0005-0000-0000-0000D9000000}"/>
    <cellStyle name="Normal" xfId="0" builtinId="0"/>
    <cellStyle name="Normal 10" xfId="283" xr:uid="{00000000-0005-0000-0000-0000DB000000}"/>
    <cellStyle name="Normal 11" xfId="284" xr:uid="{00000000-0005-0000-0000-0000DC000000}"/>
    <cellStyle name="Normal 12" xfId="285" xr:uid="{00000000-0005-0000-0000-0000DD000000}"/>
    <cellStyle name="Normal 13" xfId="286" xr:uid="{00000000-0005-0000-0000-0000DE000000}"/>
    <cellStyle name="Normal 14" xfId="287" xr:uid="{00000000-0005-0000-0000-0000DF000000}"/>
    <cellStyle name="Normal 15" xfId="288" xr:uid="{00000000-0005-0000-0000-0000E0000000}"/>
    <cellStyle name="Normal 16" xfId="289" xr:uid="{00000000-0005-0000-0000-0000E1000000}"/>
    <cellStyle name="Normal 16 2" xfId="290" xr:uid="{00000000-0005-0000-0000-0000E2000000}"/>
    <cellStyle name="Normal 17" xfId="291" xr:uid="{00000000-0005-0000-0000-0000E3000000}"/>
    <cellStyle name="Normal 17 2" xfId="292" xr:uid="{00000000-0005-0000-0000-0000E4000000}"/>
    <cellStyle name="Normal 18" xfId="161" xr:uid="{00000000-0005-0000-0000-0000E5000000}"/>
    <cellStyle name="Normal 18 2" xfId="293" xr:uid="{00000000-0005-0000-0000-0000E6000000}"/>
    <cellStyle name="Normal 18 3" xfId="294" xr:uid="{00000000-0005-0000-0000-0000E7000000}"/>
    <cellStyle name="Normal 18 4" xfId="295" xr:uid="{00000000-0005-0000-0000-0000E8000000}"/>
    <cellStyle name="Normal 18 5" xfId="359" xr:uid="{00000000-0005-0000-0000-0000E9000000}"/>
    <cellStyle name="Normal 18 6" xfId="361" xr:uid="{00000000-0005-0000-0000-0000EA000000}"/>
    <cellStyle name="Normal 19" xfId="296" xr:uid="{00000000-0005-0000-0000-0000EB000000}"/>
    <cellStyle name="Normal 2" xfId="233" xr:uid="{00000000-0005-0000-0000-0000EC000000}"/>
    <cellStyle name="Normal 2 2" xfId="297" xr:uid="{00000000-0005-0000-0000-0000ED000000}"/>
    <cellStyle name="Normal 2 2 2" xfId="298" xr:uid="{00000000-0005-0000-0000-0000EE000000}"/>
    <cellStyle name="Normal 2 2 3" xfId="299" xr:uid="{00000000-0005-0000-0000-0000EF000000}"/>
    <cellStyle name="Normal 2 3" xfId="300" xr:uid="{00000000-0005-0000-0000-0000F0000000}"/>
    <cellStyle name="Normal 2 4" xfId="301" xr:uid="{00000000-0005-0000-0000-0000F1000000}"/>
    <cellStyle name="Normal 2 5" xfId="302" xr:uid="{00000000-0005-0000-0000-0000F2000000}"/>
    <cellStyle name="Normal 20" xfId="303" xr:uid="{00000000-0005-0000-0000-0000F3000000}"/>
    <cellStyle name="Normal 20 3" xfId="304" xr:uid="{00000000-0005-0000-0000-0000F4000000}"/>
    <cellStyle name="Normal 21" xfId="1" xr:uid="{00000000-0005-0000-0000-0000F5000000}"/>
    <cellStyle name="Normal 23" xfId="305" xr:uid="{00000000-0005-0000-0000-0000F6000000}"/>
    <cellStyle name="Normal 26" xfId="306" xr:uid="{00000000-0005-0000-0000-0000F7000000}"/>
    <cellStyle name="Normal 3" xfId="240" xr:uid="{00000000-0005-0000-0000-0000F8000000}"/>
    <cellStyle name="Normal 3 10" xfId="360" xr:uid="{00000000-0005-0000-0000-0000F9000000}"/>
    <cellStyle name="Normal 3 11" xfId="362" xr:uid="{00000000-0005-0000-0000-0000FA000000}"/>
    <cellStyle name="Normal 3 2" xfId="307" xr:uid="{00000000-0005-0000-0000-0000FB000000}"/>
    <cellStyle name="Normal 3 3" xfId="308" xr:uid="{00000000-0005-0000-0000-0000FC000000}"/>
    <cellStyle name="Normal 3 4" xfId="309" xr:uid="{00000000-0005-0000-0000-0000FD000000}"/>
    <cellStyle name="Normal 3 5" xfId="310" xr:uid="{00000000-0005-0000-0000-0000FE000000}"/>
    <cellStyle name="Normal 3 6" xfId="311" xr:uid="{00000000-0005-0000-0000-0000FF000000}"/>
    <cellStyle name="Normal 3 7" xfId="312" xr:uid="{00000000-0005-0000-0000-000000010000}"/>
    <cellStyle name="Normal 3 8" xfId="313" xr:uid="{00000000-0005-0000-0000-000001010000}"/>
    <cellStyle name="Normal 3 8 2" xfId="314" xr:uid="{00000000-0005-0000-0000-000002010000}"/>
    <cellStyle name="Normal 3 9" xfId="315" xr:uid="{00000000-0005-0000-0000-000003010000}"/>
    <cellStyle name="Normal 4" xfId="316" xr:uid="{00000000-0005-0000-0000-000004010000}"/>
    <cellStyle name="Normal 4 2" xfId="317" xr:uid="{00000000-0005-0000-0000-000005010000}"/>
    <cellStyle name="Normal 5" xfId="318" xr:uid="{00000000-0005-0000-0000-000006010000}"/>
    <cellStyle name="Normal 6" xfId="319" xr:uid="{00000000-0005-0000-0000-000007010000}"/>
    <cellStyle name="Normal 6 2" xfId="320" xr:uid="{00000000-0005-0000-0000-000008010000}"/>
    <cellStyle name="Normal 7" xfId="321" xr:uid="{00000000-0005-0000-0000-000009010000}"/>
    <cellStyle name="Normal 8" xfId="322" xr:uid="{00000000-0005-0000-0000-00000A010000}"/>
    <cellStyle name="Normal 9" xfId="323" xr:uid="{00000000-0005-0000-0000-00000B010000}"/>
    <cellStyle name="Normal 9 3" xfId="324" xr:uid="{00000000-0005-0000-0000-00000C010000}"/>
    <cellStyle name="Normál_CHF_ESZKOZ_MAR06" xfId="162" xr:uid="{00000000-0005-0000-0000-00000D010000}"/>
    <cellStyle name="NormalGB" xfId="163" xr:uid="{00000000-0005-0000-0000-00000E010000}"/>
    <cellStyle name="normální_25tyden05" xfId="164" xr:uid="{00000000-0005-0000-0000-00000F010000}"/>
    <cellStyle name="Nota" xfId="325" xr:uid="{00000000-0005-0000-0000-000010010000}"/>
    <cellStyle name="Notas 2" xfId="326" xr:uid="{00000000-0005-0000-0000-000011010000}"/>
    <cellStyle name="Note 2" xfId="165" xr:uid="{00000000-0005-0000-0000-000012010000}"/>
    <cellStyle name="Notiz 2" xfId="166" xr:uid="{00000000-0005-0000-0000-000013010000}"/>
    <cellStyle name="Notiz 2 2" xfId="234" xr:uid="{00000000-0005-0000-0000-000014010000}"/>
    <cellStyle name="ohneP" xfId="167" xr:uid="{00000000-0005-0000-0000-000015010000}"/>
    <cellStyle name="ohneP 2" xfId="366" xr:uid="{00000000-0005-0000-0000-000016010000}"/>
    <cellStyle name="Page Number" xfId="168" xr:uid="{00000000-0005-0000-0000-000017010000}"/>
    <cellStyle name="Percent 2" xfId="235" xr:uid="{00000000-0005-0000-0000-000018010000}"/>
    <cellStyle name="Percent 3" xfId="241" xr:uid="{00000000-0005-0000-0000-000019010000}"/>
    <cellStyle name="Porcentual 10" xfId="327" xr:uid="{00000000-0005-0000-0000-00001A010000}"/>
    <cellStyle name="Porcentual 11" xfId="328" xr:uid="{00000000-0005-0000-0000-00001B010000}"/>
    <cellStyle name="Porcentual 18" xfId="329" xr:uid="{00000000-0005-0000-0000-00001C010000}"/>
    <cellStyle name="Porcentual 2" xfId="330" xr:uid="{00000000-0005-0000-0000-00001D010000}"/>
    <cellStyle name="Porcentual 2 2" xfId="331" xr:uid="{00000000-0005-0000-0000-00001E010000}"/>
    <cellStyle name="Porcentual 3" xfId="332" xr:uid="{00000000-0005-0000-0000-00001F010000}"/>
    <cellStyle name="Porcentual 3 2" xfId="333" xr:uid="{00000000-0005-0000-0000-000020010000}"/>
    <cellStyle name="Porcentual 30" xfId="334" xr:uid="{00000000-0005-0000-0000-000021010000}"/>
    <cellStyle name="Porcentual 32" xfId="335" xr:uid="{00000000-0005-0000-0000-000022010000}"/>
    <cellStyle name="Porcentual 4" xfId="336" xr:uid="{00000000-0005-0000-0000-000023010000}"/>
    <cellStyle name="Porcentual 5" xfId="337" xr:uid="{00000000-0005-0000-0000-000024010000}"/>
    <cellStyle name="Porcentual 6" xfId="338" xr:uid="{00000000-0005-0000-0000-000025010000}"/>
    <cellStyle name="Porcentual 7" xfId="339" xr:uid="{00000000-0005-0000-0000-000026010000}"/>
    <cellStyle name="Porcentual 8" xfId="340" xr:uid="{00000000-0005-0000-0000-000027010000}"/>
    <cellStyle name="Porcentual 9" xfId="341" xr:uid="{00000000-0005-0000-0000-000028010000}"/>
    <cellStyle name="Porcentual 9 2" xfId="342" xr:uid="{00000000-0005-0000-0000-000029010000}"/>
    <cellStyle name="Propojená bu?ka" xfId="169" xr:uid="{00000000-0005-0000-0000-00002A010000}"/>
    <cellStyle name="Propojená buňka" xfId="170" xr:uid="{00000000-0005-0000-0000-00002B010000}"/>
    <cellStyle name="Resultat" xfId="343" xr:uid="{00000000-0005-0000-0000-00002C010000}"/>
    <cellStyle name="Salida 2" xfId="344" xr:uid="{00000000-0005-0000-0000-00002D010000}"/>
    <cellStyle name="Salomon Logo" xfId="171" xr:uid="{00000000-0005-0000-0000-00002E010000}"/>
    <cellStyle name="SAPError" xfId="172" xr:uid="{00000000-0005-0000-0000-00002F010000}"/>
    <cellStyle name="SAPOutput" xfId="173" xr:uid="{00000000-0005-0000-0000-000030010000}"/>
    <cellStyle name="Sledovaný hypertextový odkaz" xfId="174" xr:uid="{00000000-0005-0000-0000-000031010000}"/>
    <cellStyle name="Sledovaný hypertextový odkaz 2" xfId="175" xr:uid="{00000000-0005-0000-0000-000032010000}"/>
    <cellStyle name="Správn?" xfId="176" xr:uid="{00000000-0005-0000-0000-000033010000}"/>
    <cellStyle name="Správně" xfId="177" xr:uid="{00000000-0005-0000-0000-000034010000}"/>
    <cellStyle name="Standard 2" xfId="2" xr:uid="{00000000-0005-0000-0000-000035010000}"/>
    <cellStyle name="Standard 2 2" xfId="178" xr:uid="{00000000-0005-0000-0000-000036010000}"/>
    <cellStyle name="Standard 2 2 2" xfId="179" xr:uid="{00000000-0005-0000-0000-000037010000}"/>
    <cellStyle name="Standard 2 2 2 2" xfId="236" xr:uid="{00000000-0005-0000-0000-000038010000}"/>
    <cellStyle name="Standard 2 2 3" xfId="237" xr:uid="{00000000-0005-0000-0000-000039010000}"/>
    <cellStyle name="Standard 2 2_RD - BS" xfId="180" xr:uid="{00000000-0005-0000-0000-00003A010000}"/>
    <cellStyle name="Standard 2 3" xfId="238" xr:uid="{00000000-0005-0000-0000-00003B010000}"/>
    <cellStyle name="Standard 3" xfId="181" xr:uid="{00000000-0005-0000-0000-00003C010000}"/>
    <cellStyle name="StandardZahl" xfId="182" xr:uid="{00000000-0005-0000-0000-00003D010000}"/>
    <cellStyle name="Stil 1" xfId="183" xr:uid="{00000000-0005-0000-0000-00003E010000}"/>
    <cellStyle name="Style 1" xfId="184" xr:uid="{00000000-0005-0000-0000-00003F010000}"/>
    <cellStyle name="Table Head" xfId="185" xr:uid="{00000000-0005-0000-0000-000040010000}"/>
    <cellStyle name="Table Head Aligned" xfId="186" xr:uid="{00000000-0005-0000-0000-000041010000}"/>
    <cellStyle name="Table Head Blue" xfId="187" xr:uid="{00000000-0005-0000-0000-000042010000}"/>
    <cellStyle name="Table Head Green" xfId="188" xr:uid="{00000000-0005-0000-0000-000043010000}"/>
    <cellStyle name="Table Head_Val_Sum_Graph" xfId="189" xr:uid="{00000000-0005-0000-0000-000044010000}"/>
    <cellStyle name="Table Text" xfId="190" xr:uid="{00000000-0005-0000-0000-000045010000}"/>
    <cellStyle name="Table Title" xfId="191" xr:uid="{00000000-0005-0000-0000-000046010000}"/>
    <cellStyle name="Table Units" xfId="192" xr:uid="{00000000-0005-0000-0000-000047010000}"/>
    <cellStyle name="Table_Header" xfId="193" xr:uid="{00000000-0005-0000-0000-000048010000}"/>
    <cellStyle name="Text 1" xfId="194" xr:uid="{00000000-0005-0000-0000-000049010000}"/>
    <cellStyle name="Text d'advertiment" xfId="345" xr:uid="{00000000-0005-0000-0000-00004A010000}"/>
    <cellStyle name="Text explicatiu" xfId="346" xr:uid="{00000000-0005-0000-0000-00004B010000}"/>
    <cellStyle name="Text Head 1" xfId="195" xr:uid="{00000000-0005-0000-0000-00004C010000}"/>
    <cellStyle name="Text upozorn?ní" xfId="196" xr:uid="{00000000-0005-0000-0000-00004D010000}"/>
    <cellStyle name="Text upozornění" xfId="197" xr:uid="{00000000-0005-0000-0000-00004E010000}"/>
    <cellStyle name="Texto de advertencia 2" xfId="347" xr:uid="{00000000-0005-0000-0000-00004F010000}"/>
    <cellStyle name="Texto explicativo 2" xfId="348" xr:uid="{00000000-0005-0000-0000-000050010000}"/>
    <cellStyle name="Title 2" xfId="239" xr:uid="{00000000-0005-0000-0000-000051010000}"/>
    <cellStyle name="Title 3" xfId="198" xr:uid="{00000000-0005-0000-0000-000052010000}"/>
    <cellStyle name="Títol" xfId="349" xr:uid="{00000000-0005-0000-0000-000053010000}"/>
    <cellStyle name="Títol 1" xfId="350" xr:uid="{00000000-0005-0000-0000-000054010000}"/>
    <cellStyle name="Títol 2" xfId="351" xr:uid="{00000000-0005-0000-0000-000055010000}"/>
    <cellStyle name="Títol 3" xfId="352" xr:uid="{00000000-0005-0000-0000-000056010000}"/>
    <cellStyle name="Títol 4" xfId="353" xr:uid="{00000000-0005-0000-0000-000057010000}"/>
    <cellStyle name="Título 1 2" xfId="354" xr:uid="{00000000-0005-0000-0000-000058010000}"/>
    <cellStyle name="Título 2 2" xfId="355" xr:uid="{00000000-0005-0000-0000-000059010000}"/>
    <cellStyle name="Título 3 2" xfId="356" xr:uid="{00000000-0005-0000-0000-00005A010000}"/>
    <cellStyle name="Título 4" xfId="357" xr:uid="{00000000-0005-0000-0000-00005B010000}"/>
    <cellStyle name="Total 2" xfId="358" xr:uid="{00000000-0005-0000-0000-00005C010000}"/>
    <cellStyle name="Underline_Single" xfId="199" xr:uid="{00000000-0005-0000-0000-00005D010000}"/>
    <cellStyle name="Vysv?tlující text" xfId="200" xr:uid="{00000000-0005-0000-0000-00005E010000}"/>
    <cellStyle name="Vysvětlující text" xfId="201" xr:uid="{00000000-0005-0000-0000-00005F010000}"/>
    <cellStyle name="year" xfId="202" xr:uid="{00000000-0005-0000-0000-000060010000}"/>
    <cellStyle name="Zvýrazn?ní 1" xfId="203" xr:uid="{00000000-0005-0000-0000-000061010000}"/>
    <cellStyle name="Zvýrazn?ní 2" xfId="204" xr:uid="{00000000-0005-0000-0000-000062010000}"/>
    <cellStyle name="Zvýrazn?ní 3" xfId="205" xr:uid="{00000000-0005-0000-0000-000063010000}"/>
    <cellStyle name="Zvýrazn?ní 4" xfId="206" xr:uid="{00000000-0005-0000-0000-000064010000}"/>
    <cellStyle name="Zvýrazn?ní 5" xfId="207" xr:uid="{00000000-0005-0000-0000-000065010000}"/>
    <cellStyle name="Zvýrazn?ní 6" xfId="208" xr:uid="{00000000-0005-0000-0000-000066010000}"/>
    <cellStyle name="Zvýraznění 1" xfId="209" xr:uid="{00000000-0005-0000-0000-000067010000}"/>
    <cellStyle name="Zvýraznění 2" xfId="210" xr:uid="{00000000-0005-0000-0000-000068010000}"/>
    <cellStyle name="Zvýraznění 3" xfId="211" xr:uid="{00000000-0005-0000-0000-000069010000}"/>
    <cellStyle name="Zvýraznění 4" xfId="212" xr:uid="{00000000-0005-0000-0000-00006A010000}"/>
    <cellStyle name="Zvýraznění 5" xfId="213" xr:uid="{00000000-0005-0000-0000-00006B010000}"/>
    <cellStyle name="Zvýraznění 6" xfId="214" xr:uid="{00000000-0005-0000-0000-00006C010000}"/>
    <cellStyle name="Zwischensumme" xfId="215" xr:uid="{00000000-0005-0000-0000-00006D010000}"/>
    <cellStyle name="Обычный_fin1" xfId="216" xr:uid="{00000000-0005-0000-0000-00006E010000}"/>
  </cellStyles>
  <dxfs count="3">
    <dxf>
      <fill>
        <patternFill>
          <bgColor rgb="FFFF0000"/>
        </patternFill>
      </fill>
    </dxf>
    <dxf>
      <fill>
        <patternFill>
          <bgColor rgb="FFFF0000"/>
        </patternFill>
      </fill>
    </dxf>
    <dxf>
      <fill>
        <patternFill>
          <bgColor rgb="FFFF0000"/>
        </patternFill>
      </fill>
    </dxf>
  </dxfs>
  <tableStyles count="0" defaultTableStyle="TableStyleMedium9" defaultPivotStyle="PivotStyleLight16"/>
  <colors>
    <mruColors>
      <color rgb="FF33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3676650</xdr:colOff>
      <xdr:row>1</xdr:row>
      <xdr:rowOff>209550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3676650" cy="438150"/>
        </a:xfrm>
        <a:prstGeom prst="rect">
          <a:avLst/>
        </a:prstGeom>
        <a:noFill/>
        <a:ln>
          <a:noFill/>
        </a:ln>
      </xdr:spPr>
    </xdr:pic>
    <xdr:clientData/>
  </xdr:twoCellAnchor>
</xdr:wsDr>
</file>

<file path=xl/persons/person.xml><?xml version="1.0" encoding="utf-8"?>
<personList xmlns="http://schemas.microsoft.com/office/spreadsheetml/2018/threadedcomments" xmlns:x="http://schemas.openxmlformats.org/spreadsheetml/2006/main">
  <person displayName="4388" id="{38450D3C-4053-41AC-92BE-E9C5ABB419CD}" userId="4388" providerId="None"/>
  <person displayName="v912" id="{842DDB87-CE24-4CAA-A466-67C46DB0A566}" userId="v912" providerId="None"/>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 personId="{38450D3C-4053-41AC-92BE-E9C5ABB419CD}" id="{CD185F85-ED42-4106-802B-CAB92037632D}">
    <text xml:space="preserve">including A80120 and A80130
+1,618 CYP001 A80130
+3,796 CYP041 A80130
including: Laiki Small Units 1,477
excluding: GIC -1.243
</text>
  </threadedComment>
  <threadedComment ref="C4" personId="{38450D3C-4053-41AC-92BE-E9C5ABB419CD}" id="{AD3D9B7F-25DE-4ACB-A678-A5B2DD353F99}">
    <text xml:space="preserve">including A80120 and A80130
+1,618 CYP001 A80130
+3,796 CYP041 A80130
including: Laiki Small Units 1,477
excluding: GIC -1.243
</text>
  </threadedComment>
  <threadedComment ref="D4" personId="{38450D3C-4053-41AC-92BE-E9C5ABB419CD}" id="{D1022B8F-A23A-4325-AEB6-456DF4BB2500}">
    <text xml:space="preserve">including A80120 and A80130
+1,618 CYP001 A80130
+3,796 CYP041 A80130
including: Laiki Small Units 1,477
excluding: GIC -1.243
</text>
  </threadedComment>
  <threadedComment ref="E4" personId="{38450D3C-4053-41AC-92BE-E9C5ABB419CD}" id="{2C1E4D14-5FB3-4B0E-971E-C6DADB3D5372}">
    <text xml:space="preserve">including A80120 and A80130
+1,618 CYP001 A80130
+3,796 CYP041 A80130
including: Laiki Small Units 1,477
excluding: GIC -1.243
</text>
  </threadedComment>
  <threadedComment ref="F4" personId="{38450D3C-4053-41AC-92BE-E9C5ABB419CD}" id="{74CD2C05-87BD-4FF7-9A8B-6C612AB7F583}">
    <text>including A80120
including: Laiki Small Units 1,477
excluding: GIC -1,243</text>
  </threadedComment>
  <threadedComment ref="G4" personId="{38450D3C-4053-41AC-92BE-E9C5ABB419CD}" id="{02738093-7333-4DEE-9C2C-7C52A566B7CF}">
    <text>including A80120
including: Laiki Small Units 1,477
excluding: GIC -1,243</text>
  </threadedComment>
  <threadedComment ref="H4" personId="{38450D3C-4053-41AC-92BE-E9C5ABB419CD}" id="{BFC1380A-5C9F-4332-A0D2-87B106F8F276}">
    <text>including 
Laiki Small Units 1,477
-1,243 GIC</text>
  </threadedComment>
  <threadedComment ref="I4" personId="{38450D3C-4053-41AC-92BE-E9C5ABB419CD}" id="{387997AB-A624-4006-955A-402F74792DD3}">
    <text>including 
Laiki Small Units 1,477
-1,243 GIC</text>
  </threadedComment>
  <threadedComment ref="J4" personId="{38450D3C-4053-41AC-92BE-E9C5ABB419CD}" id="{E912D9D8-9900-4DAC-BD8B-DF8105E551B9}">
    <text>including 
KPI 15,090
Laiki Small Units 1,477</text>
  </threadedComment>
  <threadedComment ref="K4" personId="{38450D3C-4053-41AC-92BE-E9C5ABB419CD}" id="{9A6F9B84-F839-4983-93AA-0547AE3703BE}">
    <text>including 
KPI 15,090
Laiki Small Units 1,477</text>
  </threadedComment>
  <threadedComment ref="L4" personId="{38450D3C-4053-41AC-92BE-E9C5ABB419CD}" id="{4C8B5886-F09B-413A-BB1F-0D26EC0E1739}">
    <text>including 
KPI 15,090
Laiki Small Units 1,477</text>
  </threadedComment>
  <threadedComment ref="M4" personId="{38450D3C-4053-41AC-92BE-E9C5ABB419CD}" id="{E56B2942-125C-4A40-ACAC-89F0B98609A5}">
    <text>including 
KPI 15,090
Laiki Small Units 1,477</text>
  </threadedComment>
  <threadedComment ref="N4" personId="{38450D3C-4053-41AC-92BE-E9C5ABB419CD}" id="{7340BB1B-F2CB-43F8-9EE2-908C49A0A4E7}">
    <text>including 
KPI 15,775
Laiki Small Units 1,477</text>
  </threadedComment>
  <threadedComment ref="O4" personId="{38450D3C-4053-41AC-92BE-E9C5ABB419CD}" id="{AF4969F9-7841-4B81-804D-ABF2138AB7CB}">
    <text>including 
KPI 15,775
Laiki Small Units 1,477</text>
  </threadedComment>
  <threadedComment ref="P4" personId="{38450D3C-4053-41AC-92BE-E9C5ABB419CD}" id="{D0B0F915-6A0A-493D-8D1F-42FFFC87D24E}">
    <text>including 
KPI 15,775
Laiki Small Units 1,477</text>
  </threadedComment>
  <threadedComment ref="B5" personId="{38450D3C-4053-41AC-92BE-E9C5ABB419CD}" id="{A5F6F419-028A-40B2-B350-AAF06284944D}">
    <text>2,231 Capitalization of Stock of Properties</text>
  </threadedComment>
  <threadedComment ref="C5" personId="{38450D3C-4053-41AC-92BE-E9C5ABB419CD}" id="{2E15296A-2F1E-428D-A365-285F6E108ADE}">
    <text>2,231 Capitalization of Stock of Properties</text>
  </threadedComment>
  <threadedComment ref="D5" personId="{38450D3C-4053-41AC-92BE-E9C5ABB419CD}" id="{EE6357B1-D031-49F6-AC96-C291430A88FD}">
    <text>2,231 Capitalization of Stock of Properties</text>
  </threadedComment>
  <threadedComment ref="E5" personId="{38450D3C-4053-41AC-92BE-E9C5ABB419CD}" id="{F4487064-57A4-4329-BED2-93F8936179A6}">
    <text>3,189 Capitalization of Stock of Properties</text>
  </threadedComment>
  <threadedComment ref="F5" personId="{38450D3C-4053-41AC-92BE-E9C5ABB419CD}" id="{82AD2B1E-6C89-4150-AC31-10F2BDC2A79E}">
    <text>3,189 Capitalization of Stock of Properties</text>
  </threadedComment>
  <threadedComment ref="G5" personId="{38450D3C-4053-41AC-92BE-E9C5ABB419CD}" id="{B6C3E0C0-F326-424E-9B50-11990D286421}">
    <text>3,189 Capitalization of Stock of Properties</text>
  </threadedComment>
  <threadedComment ref="H5" personId="{38450D3C-4053-41AC-92BE-E9C5ABB419CD}" id="{32D59083-D96A-41BD-A84B-E28327E27D43}">
    <text>3,189 Capitalization of Stock of Properties</text>
  </threadedComment>
  <threadedComment ref="I5" personId="{38450D3C-4053-41AC-92BE-E9C5ABB419CD}" id="{26213D61-86EE-408C-BEF4-EEC79F3E8ECE}">
    <text>3,189 Capitalization of Stock of Properties</text>
  </threadedComment>
  <threadedComment ref="J5" personId="{38450D3C-4053-41AC-92BE-E9C5ABB419CD}" id="{74EFEF1E-3927-4773-90FA-1CE302EE7029}">
    <text>3,189 Capitalization of Stock of Properties</text>
  </threadedComment>
  <threadedComment ref="K5" personId="{38450D3C-4053-41AC-92BE-E9C5ABB419CD}" id="{E325DBC9-761B-42C8-87BE-7CE638E25F64}">
    <text>3,189 Capitalization of Stock of Properties</text>
  </threadedComment>
  <threadedComment ref="L5" personId="{38450D3C-4053-41AC-92BE-E9C5ABB419CD}" id="{9002338A-012C-4322-9AB4-1C26D93CD973}">
    <text>3,178 Capitalization of Stock of Properties</text>
  </threadedComment>
  <threadedComment ref="M5" personId="{38450D3C-4053-41AC-92BE-E9C5ABB419CD}" id="{B5FCC5FC-4456-4346-8311-9B09441526F6}">
    <text>3,037 Capitalization of Stock of Properties</text>
  </threadedComment>
  <threadedComment ref="Q5" personId="{38450D3C-4053-41AC-92BE-E9C5ABB419CD}" id="{7D1713D9-00FE-4965-8454-7D403567D235}">
    <text>21,805 Ex-Laiki Building (Fota Kalispera)</text>
  </threadedComment>
  <threadedComment ref="R5" personId="{38450D3C-4053-41AC-92BE-E9C5ABB419CD}" id="{B89FC146-38C1-44CB-8B1B-25E2776EF48B}">
    <text>21,805 Ex-Laiki Building (Fota Kalispera)</text>
  </threadedComment>
  <threadedComment ref="X6" personId="{842DDB87-CE24-4CAA-A466-67C46DB0A566}" id="{A08FBFA1-0221-482C-BE80-09A7A4F99CCA}">
    <text xml:space="preserve">91,569
+HELIX
</text>
  </threadedComment>
  <threadedComment ref="E7" personId="{38450D3C-4053-41AC-92BE-E9C5ABB419CD}" id="{1C45D51A-5031-46B5-BAD3-91BEB816BE5C}">
    <text>Mainly, Edoric Properties Ltd
Orphanides Mall
Transferred from Stock of Properties (which was in CYP041) to own properties in CYP001 books</text>
  </threadedComment>
  <threadedComment ref="F7" personId="{38450D3C-4053-41AC-92BE-E9C5ABB419CD}" id="{56F84846-413F-4A38-AD68-2326B60D119C}">
    <text>Mainly, Edoric Properties Ltd
Orphanides Mall
Transferred from Stock of Properties (which was in CYP041) to own properties in CYP001 books</text>
  </threadedComment>
  <threadedComment ref="G7" personId="{38450D3C-4053-41AC-92BE-E9C5ABB419CD}" id="{84767A09-CD0E-400B-A976-724F3411F427}">
    <text>Mainly, Edoric Properties Ltd
Orphanides Mall
Transferred from Stock of Properties (which was in CYP041) to own properties in CYP001 books</text>
  </threadedComment>
  <threadedComment ref="H7" personId="{38450D3C-4053-41AC-92BE-E9C5ABB419CD}" id="{6B31FED5-9687-444A-9528-BC556501FD92}">
    <text xml:space="preserve">Mainly, Edoric Properties Ltd
Orphanides Mall
Transferred from Stock of Properties (which was in CYP041) to own properties in CYP001 books
</text>
  </threadedComment>
  <threadedComment ref="I7" personId="{38450D3C-4053-41AC-92BE-E9C5ABB419CD}" id="{1D232193-C157-4615-A889-F7D78C8F4D4F}">
    <text xml:space="preserve">Mainly, Edoric Properties Ltd
Orphanides Mall
Transferred from Stock of Properties (which was in CYP041) to own properties in CYP001 books
</text>
  </threadedComment>
  <threadedComment ref="N7" personId="{38450D3C-4053-41AC-92BE-E9C5ABB419CD}" id="{DB1E1D6F-267E-4575-9FB1-C6577693A87B}">
    <text>HFS Stock of Properties (Helix 2&amp;3)</text>
  </threadedComment>
  <threadedComment ref="O7" personId="{38450D3C-4053-41AC-92BE-E9C5ABB419CD}" id="{89B11A40-D2FD-4231-B411-AF3B883BAEB8}">
    <text>HFS Stock of Properties (Helix 2&amp;3)</text>
  </threadedComment>
  <threadedComment ref="P7" personId="{38450D3C-4053-41AC-92BE-E9C5ABB419CD}" id="{317EEF1D-802E-4B37-98C2-62A8CED3D203}">
    <text>HFS Stock of Properties (Helix 2)</text>
  </threadedComment>
  <threadedComment ref="Q7" personId="{38450D3C-4053-41AC-92BE-E9C5ABB419CD}" id="{82C381D1-61EA-4BC2-B177-5E0E34629600}">
    <text>HFS Stock of Properties (Helix 2)</text>
  </threadedComment>
  <threadedComment ref="R7" personId="{38450D3C-4053-41AC-92BE-E9C5ABB419CD}" id="{2A4B5545-04C3-4F98-B822-F7C17EE92AB0}">
    <text>HFS Stock of Properties (Helix 2)</text>
  </threadedComment>
  <threadedComment ref="S7" personId="{38450D3C-4053-41AC-92BE-E9C5ABB419CD}" id="{F59E9E6C-7CAA-4FE9-A42F-1DBFD7B0C63F}">
    <text>HFS Stock of Properties (Helix 2)</text>
  </threadedComment>
  <threadedComment ref="T7" personId="{38450D3C-4053-41AC-92BE-E9C5ABB419CD}" id="{760B8C7C-4674-40C8-A887-9B81AEE05ABB}">
    <text>HFS Stock of Properties (Helix 2)</text>
  </threadedComment>
  <threadedComment ref="Z7" personId="{38450D3C-4053-41AC-92BE-E9C5ABB419CD}" id="{ED1AF4DF-5F49-42C3-81A6-9DF8BD680A7F}">
    <text>AIF</text>
  </threadedComment>
  <threadedComment ref="AA7" personId="{38450D3C-4053-41AC-92BE-E9C5ABB419CD}" id="{E647686C-98F6-42E7-AFCB-A8E1FC320196}">
    <text>AIF</text>
  </threadedComment>
  <threadedComment ref="AB7" personId="{38450D3C-4053-41AC-92BE-E9C5ABB419CD}" id="{64C96A01-F527-4032-A373-8F396FAF511D}">
    <text>AIF</text>
  </threadedComment>
  <threadedComment ref="AC7" personId="{38450D3C-4053-41AC-92BE-E9C5ABB419CD}" id="{FC951008-5D2F-465D-8B56-07090BBD2CCD}">
    <text>AIF</text>
  </threadedComment>
  <threadedComment ref="M8" personId="{38450D3C-4053-41AC-92BE-E9C5ABB419CD}" id="{2424505B-FD82-4C6E-9EA5-D429B68D7043}">
    <text xml:space="preserve"> Capitalization of Stock of Properties
</text>
  </threadedComment>
  <threadedComment ref="N8" personId="{38450D3C-4053-41AC-92BE-E9C5ABB419CD}" id="{0D7818F3-3C4B-4015-8D31-81684DE43D7A}">
    <text>+0,908 Capitalization of Stock of Properties
-0,093 Romania SPVs FX</text>
  </threadedComment>
  <threadedComment ref="O8" personId="{38450D3C-4053-41AC-92BE-E9C5ABB419CD}" id="{50BE2D81-1351-4433-A241-F0A90897DC9B}">
    <text>+0,908 Capitalization of Stock of Properties
-0,093 Romania SPVs FX</text>
  </threadedComment>
  <threadedComment ref="P8" personId="{38450D3C-4053-41AC-92BE-E9C5ABB419CD}" id="{B396135D-53E1-4A6D-A998-0FF75DE64463}">
    <text>+0,610 Capitalization of Stock of Properties
-0,078 Romania SPVs FX</text>
  </threadedComment>
  <threadedComment ref="Q8" personId="{38450D3C-4053-41AC-92BE-E9C5ABB419CD}" id="{28D0BD1E-4455-4487-8C2E-2F69D1759175}">
    <text>+0,391 Capitalization of Stock of Properties
-0,80 Romania SPVs FX</text>
  </threadedComment>
  <threadedComment ref="R8" personId="{38450D3C-4053-41AC-92BE-E9C5ABB419CD}" id="{39DB0A8D-5DA9-4231-B844-A7A85FFD5C9E}">
    <text>+0,259 Capitalization of Stock of Properties
-0,147 Romania SPVs FX</text>
  </threadedComment>
  <threadedComment ref="S8" personId="{38450D3C-4053-41AC-92BE-E9C5ABB419CD}" id="{D9CB0664-1E1E-4B02-B9E2-1881BB659369}">
    <text>+0,155 Capitalization of Stock of Properties
+0,080 Capitalization of Investment Properties
-0,158 Romania SPVs FX</text>
  </threadedComment>
  <threadedComment ref="T8" personId="{38450D3C-4053-41AC-92BE-E9C5ABB419CD}" id="{8C1307EC-17E6-47F6-A6FB-C3E64900C473}">
    <text>+0,197 Capitalization of Stock of Properties
+0,080 Capitalization of Investment Properties
-0,108 Romania SPVs FX</text>
  </threadedComment>
  <threadedComment ref="U8" personId="{38450D3C-4053-41AC-92BE-E9C5ABB419CD}" id="{90C49523-81ED-4A3A-9636-D2AC320490BB}">
    <text>+0,080 Capitalization of Stock of Properties
+0,082 Capitalization of Investment Properties
-0,84 Romania SPVs FX</text>
  </threadedComment>
  <threadedComment ref="X8" personId="{38450D3C-4053-41AC-92BE-E9C5ABB419CD}" id="{6932F31B-3CC9-4345-A5E5-99DE39B41887}">
    <text>Disposal of Helix stock
73899  HELIX stock of property December 2018</text>
  </threadedComment>
  <threadedComment ref="Y8" personId="{38450D3C-4053-41AC-92BE-E9C5ABB419CD}" id="{ECB6789B-33A5-433A-BA50-106630DCE20E}">
    <text>98414 HELIX stock of property March 2019
73899  HELIX stock of property December 2018</text>
  </threadedComment>
  <threadedComment ref="B9" personId="{38450D3C-4053-41AC-92BE-E9C5ABB419CD}" id="{A79C86C9-ADE5-4AF0-8B06-77CCCFB6B91B}">
    <text>including A80120 and A80130
+1,270 CYP001 A80130
+0 CYP041 A80130
including: Laiki Small Units 1,477
excluding: GIC -1.030</text>
  </threadedComment>
  <threadedComment ref="C9" personId="{38450D3C-4053-41AC-92BE-E9C5ABB419CD}" id="{4EBA0AE6-D5C1-44B9-8229-5571D62CCB53}">
    <text>including A80120 and A80130
+1,423 CYP001 A80130
+0 CYP041 A80130
including: Laiki Small Units 1,477
excluding: GIC -1.066</text>
  </threadedComment>
  <threadedComment ref="D9" personId="{38450D3C-4053-41AC-92BE-E9C5ABB419CD}" id="{7FCFB436-CA0A-4392-A540-ECD4090E4A4E}">
    <text>including A80120 and A80130
+2,274 CYP001 A80130
+3,299 CYP041 A80130
including: Laiki Small Units 1,477
excluding: GIC -1.066</text>
  </threadedComment>
  <threadedComment ref="E9" personId="{38450D3C-4053-41AC-92BE-E9C5ABB419CD}" id="{3B940FBA-1BAF-435B-A93F-CC823BFA2B44}">
    <text>including A80120 and A80130
+1,052 CYP001 A80130
+3,384 CYP041 A80130
including: Laiki Small Units 1,477
excluding: GIC -1.243</text>
  </threadedComment>
  <threadedComment ref="F9" personId="{38450D3C-4053-41AC-92BE-E9C5ABB419CD}" id="{C1BCFE0A-6812-4952-B1DB-184F563E24DA}">
    <text>including A80120 and A80130
+1,618 CYP001 A80130
+3,796 CYP041 A80130
including: Laiki Small Units 1,477
excluding: GIC -1.243</text>
  </threadedComment>
  <threadedComment ref="G9" personId="{38450D3C-4053-41AC-92BE-E9C5ABB419CD}" id="{D1207D5D-B7C2-4D2D-8D91-F87F60626F35}">
    <text>including A80120 and A80130
+3,011 CYP001 A80130
+3,796 CYP041 A80130
including: Laiki Small Units 1,477
excluding: GIC -1.243</text>
  </threadedComment>
  <threadedComment ref="H9" personId="{38450D3C-4053-41AC-92BE-E9C5ABB419CD}" id="{565E2578-E1AA-41EB-9757-92F303A0E766}">
    <text>including 
+4,339 CYP001 A80130
+3,796 CYP041 A80130
Laiki Small Units 1,477
-1,243 GIC</text>
  </threadedComment>
  <threadedComment ref="I9" personId="{38450D3C-4053-41AC-92BE-E9C5ABB419CD}" id="{DDDEC752-9289-4AEC-BAAB-A6EDBEDC0052}">
    <text>including 
Laiki Small Units 1,477
-1,243 GIC</text>
  </threadedComment>
  <threadedComment ref="J9" personId="{38450D3C-4053-41AC-92BE-E9C5ABB419CD}" id="{6F613829-54FD-4E0B-AA88-9AB609DC4FCB}">
    <text>including 
Laiki Small Units 1,477
-1,243 GIC</text>
  </threadedComment>
  <threadedComment ref="K9" personId="{38450D3C-4053-41AC-92BE-E9C5ABB419CD}" id="{C4694E78-8FD8-4E57-949B-C7451947F95E}">
    <text xml:space="preserve">including 
Laiki Small Units 1,477
-1,186 GIC
</text>
  </threadedComment>
  <threadedComment ref="L9" personId="{38450D3C-4053-41AC-92BE-E9C5ABB419CD}" id="{1663FBB2-EF99-4B66-9D5C-7281F444F923}">
    <text>including 
Laiki Small Units 1,477
-1,186 GIC</text>
  </threadedComment>
  <threadedComment ref="M9" personId="{38450D3C-4053-41AC-92BE-E9C5ABB419CD}" id="{825325EC-5387-441E-8FCF-2DE170B5774E}">
    <text>including 
KPI 7,600
Laiki Small Units 1,477</text>
  </threadedComment>
  <threadedComment ref="N9" personId="{38450D3C-4053-41AC-92BE-E9C5ABB419CD}" id="{CEE035D6-EAC7-48BE-A13D-B1FF55FD4E08}">
    <text>including 
KPI 15,775
Laiki Small Units 1,477</text>
  </threadedComment>
  <threadedComment ref="O9" personId="{38450D3C-4053-41AC-92BE-E9C5ABB419CD}" id="{779EAF29-365A-4EDC-8CB4-E2FB98C6CE81}">
    <text>including 
KPI 15,775
Laiki Small Units 1,477</text>
  </threadedComment>
  <threadedComment ref="P9" personId="{38450D3C-4053-41AC-92BE-E9C5ABB419CD}" id="{F89B743B-86E8-443B-A958-D6514B8661C2}">
    <text>including 
KPI 15,775
Laiki Small Units 1,477</text>
  </threadedComment>
  <threadedComment ref="X9" personId="{38450D3C-4053-41AC-92BE-E9C5ABB419CD}" id="{32D46ADD-32A8-4D6E-BC67-0A034A43C2D3}">
    <text>1640425=1542011 (Stock of property)+98414 (HELIX Stock of Property)</text>
  </threadedComment>
  <threadedComment ref="Y9" personId="{38450D3C-4053-41AC-92BE-E9C5ABB419CD}" id="{B590C835-BC65-4417-8494-C478062F9099}">
    <text>1640425=1542011 (Stock of property)+98414 (HELIX Stock of Property)</text>
  </threadedComment>
  <threadedComment ref="Z9" personId="{38450D3C-4053-41AC-92BE-E9C5ABB419CD}" id="{448AD738-A8F4-4B86-A96A-A735F45AE8FD}">
    <text>1692309=1530388 (Stock of property)+73899 (HELIX Stock of Property)+88022
88022 relates to Nicosia Mall Stock of property 
see note 30 of FS</text>
  </threadedComment>
  <threadedComment ref="AM10" personId="{38450D3C-4053-41AC-92BE-E9C5ABB419CD}" id="{2280DAE8-690E-4757-ACBF-897197B8DD0E}">
    <text>Investment Properties 
26,866 A80120
9,385 A80130
minus
1,030 A80120 CYP004
5,825 A80130 CYP004
2,290 A80130 CYP005</text>
  </threadedComment>
  <threadedComment ref="AN10" personId="{38450D3C-4053-41AC-92BE-E9C5ABB419CD}" id="{10991E38-0A2A-4279-B29E-64DAC4E20DC9}">
    <text>Investment Properties 
41,508 A80120
14,106 A80130
minus
1,066 A80120 CYP004
6,243 A80130 CYP004
2,290 A80130 CYP005</text>
  </threadedComment>
  <threadedComment ref="AO10" personId="{38450D3C-4053-41AC-92BE-E9C5ABB419CD}" id="{17B44FCA-96FA-4565-A538-ADE9A92E5B43}">
    <text>Investment Properties 
41,508 A80120
14,106 A80130
minus
1,066 A80120 CYP004
6,243 A80130 CYP004
2,290 A80130 CYP005</text>
  </threadedComment>
  <threadedComment ref="AP10" personId="{38450D3C-4053-41AC-92BE-E9C5ABB419CD}" id="{DA4E602B-4599-443A-9E2E-6B8DA663570F}">
    <text>Investment Properties 48,158 A80120
13,947 A80130
minus
1,243 A80120 CYP004
6,243 A80130 CYP004
2,290 A80130 CYP005</text>
  </threadedComment>
  <threadedComment ref="AQ10" personId="{38450D3C-4053-41AC-92BE-E9C5ABB419CD}" id="{1EC5CE94-EFB0-46D6-9A0F-F022F15317AF}">
    <text>Investment Properties 48,158 A80120
13,947 A80130
minus
1,243 A80120 CYP004
6,243 A80130 CYP004
2,290 A80130 CYP005</text>
  </threadedComment>
  <threadedComment ref="AR10" personId="{38450D3C-4053-41AC-92BE-E9C5ABB419CD}" id="{6BFAEE14-ACD5-41AD-A2BC-53AD604D835C}">
    <text>Investment Properties 55,534 A80120
15,671 A80130
minus
1,243 A80120 CYP004
6,254 A80130 CYP004
2,610 A80130 CYP005</text>
  </threadedComment>
  <threadedComment ref="AS10" personId="{38450D3C-4053-41AC-92BE-E9C5ABB419CD}" id="{5C133AAE-88A3-4D74-BADD-C770ADDE7FEA}">
    <text>Investment Properties 57,340 A80120
16,999 A80130
minus
1,243 A80120 CYP004
6,254 A80130 CYP004
2,610 A80130 CYP005</text>
  </threadedComment>
  <threadedComment ref="AT10" personId="{38450D3C-4053-41AC-92BE-E9C5ABB419CD}" id="{C97C0B8D-73B1-479B-8C3B-66FF1A78CAC0}">
    <text>Investment Properties 66,527 A80120
16,533 A80130
minus
1,243 A80120 CYP004
6,254 A80130 CYP004
2,610 A80130 CYP005</text>
  </threadedComment>
  <threadedComment ref="AU10" personId="{38450D3C-4053-41AC-92BE-E9C5ABB419CD}" id="{D64337B0-895A-44A6-9274-F3FC1433E660}">
    <text>Investment Properties 76,235 A80120 minus
1,243 A80120 CYP004</text>
  </threadedComment>
  <threadedComment ref="AV10" personId="{38450D3C-4053-41AC-92BE-E9C5ABB419CD}" id="{8BA2FA87-4CC0-4CE8-9C08-3C46D25F19D5}">
    <text>Investment Properties 88,514 minus
87,935 HFS Stock of Properties 09/2022
9,227 A80130
1,186 A80120 CYP004</text>
  </threadedComment>
  <threadedComment ref="AW10" personId="{38450D3C-4053-41AC-92BE-E9C5ABB419CD}" id="{57BBB889-EC4A-4040-A4C6-C007896D9C17}">
    <text>Investment Properties 102,040 minus
90,083 HFS Stock of Properties 06/2022
9,231 A80130
1,186 A80120 CYP004</text>
  </threadedComment>
  <threadedComment ref="AX10" personId="{38450D3C-4053-41AC-92BE-E9C5ABB419CD}" id="{F0CF1B4F-464A-4AD8-A2AA-D5476AFC281A}">
    <text xml:space="preserve">Investment Properties 91,172 minus
94,394 HFS Stock of Properties 03/2022
</text>
  </threadedComment>
  <threadedComment ref="AY10" personId="{38450D3C-4053-41AC-92BE-E9C5ABB419CD}" id="{F6AC3783-566A-4C15-93EC-1F7F137E6F1E}">
    <text xml:space="preserve">Investment Properties 103,393 minus
98,172 HFS Stock of Properties 12/2021
</text>
  </threadedComment>
  <threadedComment ref="AZ10" personId="{38450D3C-4053-41AC-92BE-E9C5ABB419CD}" id="{04AAA704-8410-453D-8315-1EB9A7E76A03}">
    <text xml:space="preserve">Investment Properties 110,101 minus
100,976 HFS Stock of Properties 09/2021
</text>
  </threadedComment>
  <threadedComment ref="BA10" personId="{38450D3C-4053-41AC-92BE-E9C5ABB419CD}" id="{56149233-8F93-4A40-AE43-BFE1FC9174A0}">
    <text xml:space="preserve">Investment Properties 119,212 minus
</text>
  </threadedComment>
  <threadedComment ref="BB10" personId="{38450D3C-4053-41AC-92BE-E9C5ABB419CD}" id="{C2417CB3-D145-4F20-ACFC-9C34274A97DC}">
    <text>Investment Properties 105,070 minus
57,525+1,248 HFS Stock of Properties 12/2020
3,380+1,696 HFS Stock of Properties 03/2021</text>
  </threadedComment>
  <threadedComment ref="BC10" personId="{38450D3C-4053-41AC-92BE-E9C5ABB419CD}" id="{0259F938-2CB9-492B-82FF-BCEE0C109C2E}">
    <text>Investment Properties 107,121 minus
57,525+1,248 HFS Stock of Properties</text>
  </threadedComment>
  <threadedComment ref="BD10" personId="{38450D3C-4053-41AC-92BE-E9C5ABB419CD}" id="{3E58394A-7770-43B8-A8C9-7DD776708194}">
    <text>Investment Properties 109,072 minus
11,321 HFS Stock of Properties</text>
  </threadedComment>
  <threadedComment ref="BE10" personId="{38450D3C-4053-41AC-92BE-E9C5ABB419CD}" id="{09CB27EA-9468-4CC6-BE18-59E60B2A8712}">
    <text>Investment Properties 111,568 minus 10,651 HFS Stock of Properties</text>
  </threadedComment>
  <threadedComment ref="BF10" personId="{38450D3C-4053-41AC-92BE-E9C5ABB419CD}" id="{D5AD18C1-6731-4EEA-8226-A7CB3EB75248}">
    <text>Investment Properties</text>
  </threadedComment>
  <threadedComment ref="BG10" personId="{38450D3C-4053-41AC-92BE-E9C5ABB419CD}" id="{AEE9378C-FA6A-482B-89B3-005B78FF500F}">
    <text>Investment Properties</text>
  </threadedComment>
  <threadedComment ref="BH10" personId="{38450D3C-4053-41AC-92BE-E9C5ABB419CD}" id="{35AC5EE0-802D-47F8-9248-1FD92E481093}">
    <text>Investment Properties</text>
  </threadedComment>
</ThreadedComment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0.bin"/><Relationship Id="rId4" Type="http://schemas.microsoft.com/office/2017/10/relationships/threadedComment" Target="../threadedComments/threadedComment1.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C3ACA8-7DEC-4E57-8548-FCB9A4D69436}">
  <dimension ref="A2:D49"/>
  <sheetViews>
    <sheetView workbookViewId="0">
      <selection activeCell="B15" sqref="B15"/>
    </sheetView>
  </sheetViews>
  <sheetFormatPr defaultColWidth="31.140625" defaultRowHeight="15"/>
  <cols>
    <col min="1" max="1" width="2.28515625" style="304" bestFit="1" customWidth="1"/>
    <col min="2" max="2" width="129.140625" style="303" customWidth="1"/>
    <col min="3" max="16384" width="31.140625" style="303"/>
  </cols>
  <sheetData>
    <row r="2" spans="1:3">
      <c r="B2" s="306" t="s">
        <v>423</v>
      </c>
    </row>
    <row r="3" spans="1:3">
      <c r="B3" s="307" t="s">
        <v>381</v>
      </c>
    </row>
    <row r="4" spans="1:3" ht="45">
      <c r="B4" s="308" t="s">
        <v>382</v>
      </c>
    </row>
    <row r="5" spans="1:3">
      <c r="B5" s="308"/>
    </row>
    <row r="6" spans="1:3">
      <c r="B6" s="307" t="s">
        <v>383</v>
      </c>
      <c r="C6" s="309" t="s">
        <v>384</v>
      </c>
    </row>
    <row r="7" spans="1:3" ht="22.5">
      <c r="A7" s="305" t="s">
        <v>413</v>
      </c>
      <c r="B7" s="308" t="s">
        <v>412</v>
      </c>
    </row>
    <row r="8" spans="1:3" ht="22.5">
      <c r="A8" s="305" t="s">
        <v>413</v>
      </c>
      <c r="B8" s="308" t="s">
        <v>385</v>
      </c>
      <c r="C8" s="308"/>
    </row>
    <row r="9" spans="1:3">
      <c r="A9" s="305" t="s">
        <v>413</v>
      </c>
      <c r="B9" s="308" t="s">
        <v>386</v>
      </c>
      <c r="C9" s="308"/>
    </row>
    <row r="10" spans="1:3">
      <c r="A10" s="305" t="s">
        <v>413</v>
      </c>
      <c r="B10" s="308" t="s">
        <v>387</v>
      </c>
      <c r="C10" s="308"/>
    </row>
    <row r="11" spans="1:3">
      <c r="A11" s="305" t="s">
        <v>413</v>
      </c>
      <c r="B11" s="308" t="s">
        <v>388</v>
      </c>
      <c r="C11" s="308"/>
    </row>
    <row r="12" spans="1:3">
      <c r="A12" s="305" t="s">
        <v>413</v>
      </c>
      <c r="B12" s="308" t="s">
        <v>389</v>
      </c>
      <c r="C12" s="308"/>
    </row>
    <row r="13" spans="1:3" ht="33.75">
      <c r="A13" s="305" t="s">
        <v>413</v>
      </c>
      <c r="B13" s="308" t="s">
        <v>390</v>
      </c>
      <c r="C13" s="308"/>
    </row>
    <row r="14" spans="1:3" ht="33.75">
      <c r="A14" s="305" t="s">
        <v>413</v>
      </c>
      <c r="B14" s="308" t="s">
        <v>391</v>
      </c>
      <c r="C14" s="308"/>
    </row>
    <row r="15" spans="1:3">
      <c r="A15" s="305" t="s">
        <v>413</v>
      </c>
      <c r="B15" s="308" t="s">
        <v>392</v>
      </c>
      <c r="C15" s="308"/>
    </row>
    <row r="16" spans="1:3" ht="33.75">
      <c r="A16" s="305" t="s">
        <v>413</v>
      </c>
      <c r="B16" s="308" t="s">
        <v>393</v>
      </c>
      <c r="C16" s="308"/>
    </row>
    <row r="17" spans="1:4" ht="33.75">
      <c r="A17" s="305" t="s">
        <v>413</v>
      </c>
      <c r="B17" s="308" t="s">
        <v>394</v>
      </c>
      <c r="C17" s="308"/>
    </row>
    <row r="18" spans="1:4" ht="22.5">
      <c r="A18" s="305" t="s">
        <v>413</v>
      </c>
      <c r="B18" s="308" t="s">
        <v>414</v>
      </c>
    </row>
    <row r="19" spans="1:4" ht="22.5">
      <c r="A19" s="305" t="s">
        <v>413</v>
      </c>
      <c r="B19" s="308" t="s">
        <v>415</v>
      </c>
    </row>
    <row r="20" spans="1:4" ht="33.75">
      <c r="A20" s="305" t="s">
        <v>413</v>
      </c>
      <c r="B20" s="308" t="s">
        <v>395</v>
      </c>
      <c r="C20" s="308"/>
    </row>
    <row r="21" spans="1:4" ht="56.25">
      <c r="A21" s="305" t="s">
        <v>413</v>
      </c>
      <c r="B21" s="308" t="s">
        <v>396</v>
      </c>
      <c r="C21" s="308"/>
      <c r="D21" s="308"/>
    </row>
    <row r="22" spans="1:4" ht="33.75">
      <c r="A22" s="305" t="s">
        <v>413</v>
      </c>
      <c r="B22" s="308" t="s">
        <v>397</v>
      </c>
      <c r="C22" s="308"/>
    </row>
    <row r="23" spans="1:4" ht="45">
      <c r="A23" s="305" t="s">
        <v>413</v>
      </c>
      <c r="B23" s="308" t="s">
        <v>398</v>
      </c>
      <c r="C23" s="308"/>
    </row>
    <row r="24" spans="1:4" ht="33.75">
      <c r="A24" s="305" t="s">
        <v>413</v>
      </c>
      <c r="B24" s="308" t="s">
        <v>417</v>
      </c>
    </row>
    <row r="25" spans="1:4" ht="45">
      <c r="A25" s="305" t="s">
        <v>413</v>
      </c>
      <c r="B25" s="308" t="s">
        <v>418</v>
      </c>
    </row>
    <row r="26" spans="1:4" ht="45">
      <c r="A26" s="305" t="s">
        <v>413</v>
      </c>
      <c r="B26" s="308" t="s">
        <v>399</v>
      </c>
      <c r="C26" s="308"/>
    </row>
    <row r="27" spans="1:4" ht="22.5">
      <c r="A27" s="305" t="s">
        <v>413</v>
      </c>
      <c r="B27" s="308" t="s">
        <v>419</v>
      </c>
    </row>
    <row r="28" spans="1:4" ht="22.5">
      <c r="A28" s="305" t="s">
        <v>413</v>
      </c>
      <c r="B28" s="308" t="s">
        <v>420</v>
      </c>
    </row>
    <row r="29" spans="1:4" ht="22.5">
      <c r="A29" s="305" t="s">
        <v>413</v>
      </c>
      <c r="B29" s="308" t="s">
        <v>421</v>
      </c>
    </row>
    <row r="30" spans="1:4" ht="22.5">
      <c r="A30" s="305" t="s">
        <v>413</v>
      </c>
      <c r="B30" s="308" t="s">
        <v>400</v>
      </c>
    </row>
    <row r="31" spans="1:4" ht="22.5">
      <c r="A31" s="305" t="s">
        <v>413</v>
      </c>
      <c r="B31" s="308" t="s">
        <v>401</v>
      </c>
    </row>
    <row r="32" spans="1:4">
      <c r="A32" s="305" t="s">
        <v>413</v>
      </c>
      <c r="B32" s="308" t="s">
        <v>402</v>
      </c>
    </row>
    <row r="33" spans="1:2" ht="22.5">
      <c r="A33" s="305" t="s">
        <v>413</v>
      </c>
      <c r="B33" s="308" t="s">
        <v>403</v>
      </c>
    </row>
    <row r="34" spans="1:2" ht="22.5">
      <c r="A34" s="305" t="s">
        <v>413</v>
      </c>
      <c r="B34" s="308" t="s">
        <v>422</v>
      </c>
    </row>
    <row r="35" spans="1:2">
      <c r="A35" s="305" t="s">
        <v>413</v>
      </c>
      <c r="B35" s="308" t="s">
        <v>404</v>
      </c>
    </row>
    <row r="36" spans="1:2" ht="33.75">
      <c r="A36" s="305"/>
      <c r="B36" s="308" t="s">
        <v>405</v>
      </c>
    </row>
    <row r="37" spans="1:2">
      <c r="B37" s="308" t="s">
        <v>416</v>
      </c>
    </row>
    <row r="38" spans="1:2">
      <c r="B38" s="307"/>
    </row>
    <row r="39" spans="1:2">
      <c r="B39" s="307" t="s">
        <v>406</v>
      </c>
    </row>
    <row r="40" spans="1:2">
      <c r="B40" s="308" t="s">
        <v>407</v>
      </c>
    </row>
    <row r="41" spans="1:2">
      <c r="B41" s="308"/>
    </row>
    <row r="42" spans="1:2">
      <c r="B42" s="307" t="s">
        <v>408</v>
      </c>
    </row>
    <row r="43" spans="1:2">
      <c r="B43" s="308" t="s">
        <v>409</v>
      </c>
    </row>
    <row r="44" spans="1:2">
      <c r="B44" s="307"/>
    </row>
    <row r="45" spans="1:2">
      <c r="B45" s="307"/>
    </row>
    <row r="46" spans="1:2">
      <c r="B46" s="307" t="s">
        <v>410</v>
      </c>
    </row>
    <row r="47" spans="1:2" ht="22.5">
      <c r="B47" s="308" t="s">
        <v>411</v>
      </c>
    </row>
    <row r="48" spans="1:2">
      <c r="B48" s="310"/>
    </row>
    <row r="49" spans="2:2">
      <c r="B49" s="310"/>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174A0C-7FE7-44A7-A5AD-FEF5CAF70A56}">
  <sheetPr>
    <pageSetUpPr fitToPage="1"/>
  </sheetPr>
  <dimension ref="A1:P32"/>
  <sheetViews>
    <sheetView zoomScaleNormal="100" workbookViewId="0">
      <pane ySplit="2" topLeftCell="A3" activePane="bottomLeft" state="frozen"/>
      <selection pane="bottomLeft" activeCell="B4" sqref="B4"/>
    </sheetView>
  </sheetViews>
  <sheetFormatPr defaultColWidth="9.140625" defaultRowHeight="15"/>
  <cols>
    <col min="1" max="1" width="53" style="18" customWidth="1"/>
    <col min="2" max="4" width="12.140625" style="18" bestFit="1" customWidth="1"/>
    <col min="5" max="15" width="14.28515625" style="18" customWidth="1"/>
    <col min="16" max="16" width="6.85546875" style="18" customWidth="1"/>
    <col min="17" max="16384" width="9.140625" style="18"/>
  </cols>
  <sheetData>
    <row r="1" spans="1:16">
      <c r="A1" s="132" t="s">
        <v>325</v>
      </c>
      <c r="B1" s="132"/>
      <c r="C1" s="132"/>
      <c r="D1" s="132"/>
      <c r="E1" s="132"/>
      <c r="F1" s="132"/>
      <c r="G1" s="132"/>
      <c r="H1" s="132"/>
      <c r="I1" s="132"/>
      <c r="J1" s="132"/>
      <c r="K1" s="132"/>
      <c r="L1" s="132"/>
      <c r="M1" s="132"/>
      <c r="N1" s="132"/>
      <c r="O1" s="132"/>
      <c r="P1" s="169"/>
    </row>
    <row r="2" spans="1:16">
      <c r="A2" s="134" t="s">
        <v>33</v>
      </c>
      <c r="B2" s="115" t="s">
        <v>560</v>
      </c>
      <c r="C2" s="115" t="s">
        <v>503</v>
      </c>
      <c r="D2" s="115" t="s">
        <v>446</v>
      </c>
      <c r="E2" s="115" t="s">
        <v>443</v>
      </c>
      <c r="F2" s="115" t="s">
        <v>426</v>
      </c>
      <c r="G2" s="115" t="s">
        <v>372</v>
      </c>
      <c r="H2" s="115" t="s">
        <v>366</v>
      </c>
      <c r="I2" s="115" t="s">
        <v>343</v>
      </c>
      <c r="J2" s="115" t="s">
        <v>330</v>
      </c>
      <c r="K2" s="115" t="s">
        <v>323</v>
      </c>
      <c r="L2" s="115" t="s">
        <v>315</v>
      </c>
      <c r="M2" s="115" t="s">
        <v>287</v>
      </c>
      <c r="N2" s="115" t="s">
        <v>280</v>
      </c>
      <c r="O2" s="115" t="s">
        <v>275</v>
      </c>
      <c r="P2" s="169"/>
    </row>
    <row r="3" spans="1:16">
      <c r="A3" s="135" t="s">
        <v>159</v>
      </c>
      <c r="B3" s="135"/>
      <c r="C3" s="135"/>
      <c r="D3" s="135"/>
      <c r="E3" s="135"/>
      <c r="F3" s="135"/>
      <c r="G3" s="135"/>
      <c r="H3" s="135"/>
      <c r="I3" s="135"/>
      <c r="J3" s="135"/>
      <c r="K3" s="135"/>
      <c r="L3" s="135"/>
      <c r="M3" s="135"/>
      <c r="N3" s="135"/>
      <c r="O3" s="135"/>
      <c r="P3" s="169"/>
    </row>
    <row r="4" spans="1:16">
      <c r="A4" s="278" t="s">
        <v>299</v>
      </c>
      <c r="B4" s="250">
        <v>377.39699999999999</v>
      </c>
      <c r="C4" s="230">
        <v>377.39699999999999</v>
      </c>
      <c r="D4" s="230">
        <v>659.976</v>
      </c>
      <c r="E4" s="230">
        <v>659.976</v>
      </c>
      <c r="F4" s="230">
        <v>659.976</v>
      </c>
      <c r="G4" s="230">
        <v>659.976</v>
      </c>
      <c r="H4" s="230">
        <v>861.67399999999998</v>
      </c>
      <c r="I4" s="230">
        <v>861.67399999999998</v>
      </c>
      <c r="J4" s="230">
        <v>861.67399999999998</v>
      </c>
      <c r="K4" s="230">
        <v>861.67399999999998</v>
      </c>
      <c r="L4" s="230">
        <v>1078.673</v>
      </c>
      <c r="M4" s="230">
        <v>1078.673</v>
      </c>
      <c r="N4" s="230">
        <v>1078.673</v>
      </c>
      <c r="O4" s="230">
        <v>1078.673</v>
      </c>
      <c r="P4" s="169"/>
    </row>
    <row r="5" spans="1:16">
      <c r="A5" s="278" t="s">
        <v>139</v>
      </c>
      <c r="B5" s="250">
        <v>1.224</v>
      </c>
      <c r="C5" s="230">
        <v>0.91800000000000004</v>
      </c>
      <c r="D5" s="230">
        <v>10.393000000000001</v>
      </c>
      <c r="E5" s="230">
        <v>9.3249999999999993</v>
      </c>
      <c r="F5" s="230">
        <v>7.7610000000000001</v>
      </c>
      <c r="G5" s="230">
        <v>5.0810000000000004</v>
      </c>
      <c r="H5" s="230">
        <v>30.615000000000002</v>
      </c>
      <c r="I5" s="230">
        <v>27.52</v>
      </c>
      <c r="J5" s="230">
        <v>14.327</v>
      </c>
      <c r="K5" s="230">
        <v>4.8079999999999998</v>
      </c>
      <c r="L5" s="230">
        <v>20.914999999999999</v>
      </c>
      <c r="M5" s="230">
        <v>17.638999999999999</v>
      </c>
      <c r="N5" s="230">
        <v>5.0170000000000003</v>
      </c>
      <c r="O5" s="230">
        <v>2.0409999999999999</v>
      </c>
      <c r="P5" s="169"/>
    </row>
    <row r="6" spans="1:16">
      <c r="A6" s="278" t="s">
        <v>300</v>
      </c>
      <c r="B6" s="250">
        <v>-26.704000000000001</v>
      </c>
      <c r="C6" s="230">
        <v>-9.8970000000000002</v>
      </c>
      <c r="D6" s="230">
        <v>-263.55</v>
      </c>
      <c r="E6" s="230">
        <v>-230</v>
      </c>
      <c r="F6" s="230">
        <v>-210.36799999999999</v>
      </c>
      <c r="G6" s="230">
        <v>-21.509</v>
      </c>
      <c r="H6" s="230">
        <v>-174.84</v>
      </c>
      <c r="I6" s="230">
        <v>-81.501000000000005</v>
      </c>
      <c r="J6" s="230">
        <v>-56.744</v>
      </c>
      <c r="K6" s="230">
        <v>-17.292000000000002</v>
      </c>
      <c r="L6" s="230">
        <v>-171.542</v>
      </c>
      <c r="M6" s="230">
        <v>-97.62</v>
      </c>
      <c r="N6" s="230">
        <v>-67.688999999999993</v>
      </c>
      <c r="O6" s="230">
        <v>-37.634</v>
      </c>
      <c r="P6" s="169"/>
    </row>
    <row r="7" spans="1:16">
      <c r="A7" s="278" t="s">
        <v>380</v>
      </c>
      <c r="B7" s="250">
        <v>0</v>
      </c>
      <c r="C7" s="230">
        <v>0</v>
      </c>
      <c r="D7" s="230">
        <v>-1.216</v>
      </c>
      <c r="E7" s="230">
        <v>0</v>
      </c>
      <c r="F7" s="230">
        <v>0</v>
      </c>
      <c r="G7" s="230">
        <v>-0.77500000000000002</v>
      </c>
      <c r="H7" s="230">
        <v>-1E-3</v>
      </c>
      <c r="I7" s="230">
        <v>-3.0579999999999998</v>
      </c>
      <c r="J7" s="230">
        <v>-3.0579999999999998</v>
      </c>
      <c r="K7" s="230">
        <v>-3.0579999999999998</v>
      </c>
      <c r="L7" s="230">
        <v>-21.353999999999999</v>
      </c>
      <c r="M7" s="230">
        <v>-21.353999999999999</v>
      </c>
      <c r="N7" s="230">
        <v>-20.556000000000001</v>
      </c>
      <c r="O7" s="230">
        <v>-21.353999999999999</v>
      </c>
      <c r="P7" s="169"/>
    </row>
    <row r="8" spans="1:16">
      <c r="A8" s="278" t="s">
        <v>302</v>
      </c>
      <c r="B8" s="250">
        <v>-11.143000000000001</v>
      </c>
      <c r="C8" s="230">
        <v>-6.6059999999999999</v>
      </c>
      <c r="D8" s="230">
        <v>-28.206</v>
      </c>
      <c r="E8" s="230">
        <v>-20.352</v>
      </c>
      <c r="F8" s="230">
        <v>-15.141999999999999</v>
      </c>
      <c r="G8" s="230">
        <v>-8.5649999999999995</v>
      </c>
      <c r="H8" s="230">
        <v>-57.472000000000001</v>
      </c>
      <c r="I8" s="230">
        <v>-40.880000000000003</v>
      </c>
      <c r="J8" s="230">
        <v>-25.981000000000002</v>
      </c>
      <c r="K8" s="230">
        <v>-9.7050000000000001</v>
      </c>
      <c r="L8" s="230">
        <v>-44.417999999999999</v>
      </c>
      <c r="M8" s="230">
        <v>-30.236000000000001</v>
      </c>
      <c r="N8" s="230">
        <v>-21.684000000000001</v>
      </c>
      <c r="O8" s="230">
        <v>-8.7460000000000004</v>
      </c>
      <c r="P8" s="169"/>
    </row>
    <row r="9" spans="1:16" ht="15.75" thickBot="1">
      <c r="A9" s="138" t="s">
        <v>429</v>
      </c>
      <c r="B9" s="251">
        <v>340.774</v>
      </c>
      <c r="C9" s="231">
        <v>361.81200000000001</v>
      </c>
      <c r="D9" s="231">
        <v>377.39699999999999</v>
      </c>
      <c r="E9" s="231">
        <v>418.94900000000001</v>
      </c>
      <c r="F9" s="231">
        <v>442.22699999999998</v>
      </c>
      <c r="G9" s="231">
        <v>634.20799999999997</v>
      </c>
      <c r="H9" s="231">
        <v>659.976</v>
      </c>
      <c r="I9" s="231">
        <v>763.755</v>
      </c>
      <c r="J9" s="231">
        <v>790.21799999999996</v>
      </c>
      <c r="K9" s="231">
        <v>836.42700000000002</v>
      </c>
      <c r="L9" s="231">
        <v>862.274</v>
      </c>
      <c r="M9" s="231">
        <v>947.10199999999998</v>
      </c>
      <c r="N9" s="231">
        <v>973.76099999999997</v>
      </c>
      <c r="O9" s="231">
        <v>1012.98</v>
      </c>
      <c r="P9" s="169"/>
    </row>
    <row r="10" spans="1:16" ht="15.75" thickTop="1">
      <c r="A10" s="137"/>
      <c r="B10" s="266"/>
      <c r="C10" s="266"/>
      <c r="D10" s="266"/>
      <c r="E10" s="266"/>
      <c r="F10" s="266"/>
      <c r="G10" s="300"/>
      <c r="H10" s="275"/>
      <c r="I10" s="275"/>
      <c r="J10" s="275"/>
      <c r="K10" s="275"/>
      <c r="L10" s="300"/>
      <c r="M10" s="275"/>
      <c r="N10" s="275"/>
      <c r="O10" s="275"/>
      <c r="P10" s="169"/>
    </row>
    <row r="11" spans="1:16">
      <c r="A11" s="135" t="s">
        <v>28</v>
      </c>
      <c r="B11" s="267"/>
      <c r="C11" s="267"/>
      <c r="D11" s="267"/>
      <c r="E11" s="267"/>
      <c r="F11" s="267"/>
      <c r="G11" s="301"/>
      <c r="H11" s="267"/>
      <c r="I11" s="267"/>
      <c r="J11" s="267"/>
      <c r="K11" s="267"/>
      <c r="L11" s="301"/>
      <c r="M11" s="267"/>
      <c r="N11" s="267"/>
      <c r="O11" s="267"/>
      <c r="P11" s="169"/>
    </row>
    <row r="12" spans="1:16">
      <c r="A12" s="279" t="s">
        <v>140</v>
      </c>
      <c r="B12" s="250">
        <v>32.856999999999999</v>
      </c>
      <c r="C12" s="230">
        <v>36.892000000000003</v>
      </c>
      <c r="D12" s="230">
        <v>41.183999999999997</v>
      </c>
      <c r="E12" s="230">
        <v>43</v>
      </c>
      <c r="F12" s="230">
        <v>44</v>
      </c>
      <c r="G12" s="230">
        <v>45.326840670000038</v>
      </c>
      <c r="H12" s="230">
        <v>45.963999999999999</v>
      </c>
      <c r="I12" s="230">
        <v>48.292999999999999</v>
      </c>
      <c r="J12" s="230">
        <v>49.743000000000002</v>
      </c>
      <c r="K12" s="230">
        <v>49.358000000000004</v>
      </c>
      <c r="L12" s="230">
        <v>49.865000000000002</v>
      </c>
      <c r="M12" s="129"/>
      <c r="N12" s="129"/>
      <c r="O12" s="129"/>
      <c r="P12" s="169"/>
    </row>
    <row r="13" spans="1:16">
      <c r="A13" s="279" t="s">
        <v>141</v>
      </c>
      <c r="B13" s="250">
        <v>38.747</v>
      </c>
      <c r="C13" s="230">
        <v>42.524999999999999</v>
      </c>
      <c r="D13" s="230">
        <v>44.503999999999998</v>
      </c>
      <c r="E13" s="230">
        <v>50</v>
      </c>
      <c r="F13" s="230">
        <v>53</v>
      </c>
      <c r="G13" s="230">
        <v>54.712159329999992</v>
      </c>
      <c r="H13" s="230">
        <v>70.897659329999996</v>
      </c>
      <c r="I13" s="230">
        <v>113.88004980999999</v>
      </c>
      <c r="J13" s="230">
        <v>104.70298</v>
      </c>
      <c r="K13" s="230">
        <v>103.79873000000001</v>
      </c>
      <c r="L13" s="230">
        <v>109.99193</v>
      </c>
      <c r="M13" s="129"/>
      <c r="N13" s="129"/>
      <c r="O13" s="129"/>
      <c r="P13" s="169"/>
    </row>
    <row r="14" spans="1:16">
      <c r="A14" s="279" t="s">
        <v>142</v>
      </c>
      <c r="B14" s="250">
        <v>12.343</v>
      </c>
      <c r="C14" s="230">
        <v>11.972</v>
      </c>
      <c r="D14" s="230">
        <v>11.972</v>
      </c>
      <c r="E14" s="230">
        <v>12</v>
      </c>
      <c r="F14" s="230">
        <v>14</v>
      </c>
      <c r="G14" s="230">
        <v>15.056000000000001</v>
      </c>
      <c r="H14" s="230">
        <v>15.212</v>
      </c>
      <c r="I14" s="230">
        <v>15.525</v>
      </c>
      <c r="J14" s="230">
        <v>25.186</v>
      </c>
      <c r="K14" s="230">
        <v>34.918999999999997</v>
      </c>
      <c r="L14" s="230">
        <v>35.956000000000003</v>
      </c>
      <c r="M14" s="129"/>
      <c r="N14" s="129"/>
      <c r="O14" s="129"/>
      <c r="P14" s="169"/>
    </row>
    <row r="15" spans="1:16">
      <c r="A15" s="279" t="s">
        <v>143</v>
      </c>
      <c r="B15" s="250">
        <v>7.0049999999999999</v>
      </c>
      <c r="C15" s="230">
        <v>7.0049999999999999</v>
      </c>
      <c r="D15" s="230">
        <v>7.0049999999999999</v>
      </c>
      <c r="E15" s="230">
        <v>7</v>
      </c>
      <c r="F15" s="230">
        <v>7</v>
      </c>
      <c r="G15" s="230">
        <v>7.0049999999999999</v>
      </c>
      <c r="H15" s="230">
        <v>7.0049999999999999</v>
      </c>
      <c r="I15" s="230">
        <v>13.244999999999999</v>
      </c>
      <c r="J15" s="230">
        <v>13.244999999999999</v>
      </c>
      <c r="K15" s="230">
        <v>15.244999999999999</v>
      </c>
      <c r="L15" s="230">
        <v>17.344999999999999</v>
      </c>
      <c r="M15" s="129"/>
      <c r="N15" s="129"/>
      <c r="O15" s="129"/>
      <c r="P15" s="169"/>
    </row>
    <row r="16" spans="1:16">
      <c r="A16" s="279" t="s">
        <v>144</v>
      </c>
      <c r="B16" s="250">
        <v>232.30799999999999</v>
      </c>
      <c r="C16" s="230">
        <v>243.92599999999999</v>
      </c>
      <c r="D16" s="230">
        <v>252.708</v>
      </c>
      <c r="E16" s="230">
        <v>283.94900000000001</v>
      </c>
      <c r="F16" s="230">
        <v>299.22699999999998</v>
      </c>
      <c r="G16" s="230">
        <v>485.233</v>
      </c>
      <c r="H16" s="230">
        <v>493.5</v>
      </c>
      <c r="I16" s="230">
        <v>542.23199999999997</v>
      </c>
      <c r="J16" s="230">
        <v>562.07899999999995</v>
      </c>
      <c r="K16" s="230">
        <v>590.03300000000002</v>
      </c>
      <c r="L16" s="230">
        <v>603.75300000000004</v>
      </c>
      <c r="M16" s="129"/>
      <c r="N16" s="129"/>
      <c r="O16" s="129"/>
      <c r="P16" s="169"/>
    </row>
    <row r="17" spans="1:16">
      <c r="A17" s="278" t="s">
        <v>145</v>
      </c>
      <c r="B17" s="250">
        <v>0</v>
      </c>
      <c r="C17" s="230">
        <v>0</v>
      </c>
      <c r="D17" s="230">
        <v>0</v>
      </c>
      <c r="E17" s="230">
        <v>0</v>
      </c>
      <c r="F17" s="230">
        <v>0</v>
      </c>
      <c r="G17" s="230">
        <v>0</v>
      </c>
      <c r="H17" s="230">
        <v>0</v>
      </c>
      <c r="I17" s="230">
        <v>0</v>
      </c>
      <c r="J17" s="230">
        <v>0</v>
      </c>
      <c r="K17" s="230">
        <v>0</v>
      </c>
      <c r="L17" s="230">
        <v>0</v>
      </c>
      <c r="M17" s="129"/>
      <c r="N17" s="129"/>
      <c r="O17" s="129"/>
      <c r="P17" s="169"/>
    </row>
    <row r="18" spans="1:16" ht="15.75" thickBot="1">
      <c r="A18" s="138" t="s">
        <v>109</v>
      </c>
      <c r="B18" s="251">
        <v>323.26</v>
      </c>
      <c r="C18" s="231">
        <v>342.32</v>
      </c>
      <c r="D18" s="231">
        <v>357.37300000000005</v>
      </c>
      <c r="E18" s="231">
        <v>395.94900000000001</v>
      </c>
      <c r="F18" s="231">
        <v>417.22699999999998</v>
      </c>
      <c r="G18" s="231">
        <v>607.33299999999997</v>
      </c>
      <c r="H18" s="231">
        <v>632.57865932999994</v>
      </c>
      <c r="I18" s="231">
        <v>733.17504981000002</v>
      </c>
      <c r="J18" s="231">
        <v>754.95597999999995</v>
      </c>
      <c r="K18" s="231">
        <v>793.35373000000004</v>
      </c>
      <c r="L18" s="231">
        <v>816.91093000000001</v>
      </c>
      <c r="M18" s="129"/>
      <c r="N18" s="129"/>
      <c r="O18" s="129"/>
      <c r="P18" s="169"/>
    </row>
    <row r="19" spans="1:16" ht="15.75" thickTop="1">
      <c r="A19" s="138"/>
      <c r="B19" s="263"/>
      <c r="C19" s="263"/>
      <c r="D19" s="263"/>
      <c r="E19" s="263"/>
      <c r="F19" s="263"/>
      <c r="G19" s="302"/>
      <c r="H19" s="263"/>
      <c r="I19" s="263"/>
      <c r="J19" s="263"/>
      <c r="K19" s="263"/>
      <c r="L19" s="263"/>
      <c r="M19" s="263"/>
      <c r="N19" s="263"/>
      <c r="O19" s="263"/>
    </row>
    <row r="20" spans="1:16">
      <c r="A20" s="135" t="s">
        <v>369</v>
      </c>
      <c r="B20" s="267"/>
      <c r="C20" s="267"/>
      <c r="D20" s="267"/>
      <c r="E20" s="267"/>
      <c r="F20" s="267"/>
      <c r="G20" s="301"/>
      <c r="H20" s="267"/>
      <c r="I20" s="267"/>
      <c r="J20" s="267"/>
      <c r="K20" s="267"/>
      <c r="L20" s="267"/>
      <c r="M20" s="267"/>
      <c r="N20" s="267"/>
      <c r="O20" s="267"/>
      <c r="P20" s="169"/>
    </row>
    <row r="21" spans="1:16">
      <c r="A21" s="279" t="s">
        <v>140</v>
      </c>
      <c r="B21" s="250">
        <v>4.1710000000000003</v>
      </c>
      <c r="C21" s="230">
        <v>4.8129999999999997</v>
      </c>
      <c r="D21" s="230">
        <v>5.125</v>
      </c>
      <c r="E21" s="230">
        <v>6</v>
      </c>
      <c r="F21" s="230">
        <v>6</v>
      </c>
      <c r="G21" s="230">
        <v>6.5670000000000002</v>
      </c>
      <c r="H21" s="230">
        <v>6.1620000000000008</v>
      </c>
      <c r="I21" s="230">
        <v>7.0920000000000005</v>
      </c>
      <c r="J21" s="230">
        <v>9.4860000000000007</v>
      </c>
      <c r="K21" s="230">
        <v>11.244</v>
      </c>
      <c r="L21" s="230">
        <v>12</v>
      </c>
      <c r="M21" s="129"/>
      <c r="N21" s="129"/>
      <c r="O21" s="129"/>
      <c r="P21" s="169"/>
    </row>
    <row r="22" spans="1:16">
      <c r="A22" s="279" t="s">
        <v>141</v>
      </c>
      <c r="B22" s="250">
        <v>5.0670000000000002</v>
      </c>
      <c r="C22" s="230">
        <v>5.984</v>
      </c>
      <c r="D22" s="230">
        <v>6.1459999999999999</v>
      </c>
      <c r="E22" s="230">
        <v>7</v>
      </c>
      <c r="F22" s="230">
        <v>7</v>
      </c>
      <c r="G22" s="230">
        <v>7.1790000000000003</v>
      </c>
      <c r="H22" s="230">
        <v>7.8320000000000007</v>
      </c>
      <c r="I22" s="230">
        <v>9.4979999999999993</v>
      </c>
      <c r="J22" s="230">
        <v>9.7289999999999992</v>
      </c>
      <c r="K22" s="230">
        <v>11.606</v>
      </c>
      <c r="L22" s="230">
        <v>13.05</v>
      </c>
      <c r="M22" s="129"/>
      <c r="N22" s="129"/>
      <c r="O22" s="129"/>
      <c r="P22" s="169"/>
    </row>
    <row r="23" spans="1:16">
      <c r="A23" s="279" t="s">
        <v>142</v>
      </c>
      <c r="B23" s="250">
        <v>5.8609999999999998</v>
      </c>
      <c r="C23" s="230">
        <v>6.2080000000000002</v>
      </c>
      <c r="D23" s="230">
        <v>6.242</v>
      </c>
      <c r="E23" s="230">
        <v>8</v>
      </c>
      <c r="F23" s="230">
        <v>9</v>
      </c>
      <c r="G23" s="230">
        <v>9.7119999999999997</v>
      </c>
      <c r="H23" s="230">
        <v>9.9759999999999991</v>
      </c>
      <c r="I23" s="230">
        <v>10.562999999999999</v>
      </c>
      <c r="J23" s="230">
        <v>12.62</v>
      </c>
      <c r="K23" s="230">
        <v>16.038999999999998</v>
      </c>
      <c r="L23" s="230">
        <v>16.192999999999998</v>
      </c>
      <c r="M23" s="129"/>
      <c r="N23" s="129"/>
      <c r="O23" s="129"/>
      <c r="P23" s="169"/>
    </row>
    <row r="24" spans="1:16">
      <c r="A24" s="279" t="s">
        <v>143</v>
      </c>
      <c r="B24" s="250">
        <v>0.315</v>
      </c>
      <c r="C24" s="230">
        <v>0.315</v>
      </c>
      <c r="D24" s="230">
        <v>0.33900000000000002</v>
      </c>
      <c r="E24" s="230">
        <v>0</v>
      </c>
      <c r="F24" s="230">
        <v>0</v>
      </c>
      <c r="G24" s="230">
        <v>0.33900000000000002</v>
      </c>
      <c r="H24" s="230">
        <v>0.33900000000000002</v>
      </c>
      <c r="I24" s="230">
        <v>0.33900000000000002</v>
      </c>
      <c r="J24" s="230">
        <v>0.33900000000000002</v>
      </c>
      <c r="K24" s="230">
        <v>0.48399999999999999</v>
      </c>
      <c r="L24" s="230">
        <v>0.437</v>
      </c>
      <c r="M24" s="129"/>
      <c r="N24" s="129"/>
      <c r="O24" s="129"/>
      <c r="P24" s="169"/>
    </row>
    <row r="25" spans="1:16">
      <c r="A25" s="279" t="s">
        <v>144</v>
      </c>
      <c r="B25" s="250">
        <v>2.1</v>
      </c>
      <c r="C25" s="230">
        <v>2.1720000000000002</v>
      </c>
      <c r="D25" s="230">
        <v>2.1720000000000002</v>
      </c>
      <c r="E25" s="230">
        <v>2</v>
      </c>
      <c r="F25" s="230">
        <v>3</v>
      </c>
      <c r="G25" s="230">
        <v>3.0779999999999998</v>
      </c>
      <c r="H25" s="230">
        <v>3.0880000000000001</v>
      </c>
      <c r="I25" s="230">
        <v>3.0880000000000001</v>
      </c>
      <c r="J25" s="230">
        <v>3.0880000000000001</v>
      </c>
      <c r="K25" s="230">
        <v>3.7</v>
      </c>
      <c r="L25" s="230">
        <v>3.6829999999999998</v>
      </c>
      <c r="M25" s="129"/>
      <c r="N25" s="129"/>
      <c r="O25" s="129"/>
      <c r="P25" s="169"/>
    </row>
    <row r="26" spans="1:16">
      <c r="A26" s="278" t="s">
        <v>145</v>
      </c>
      <c r="B26" s="250">
        <v>0</v>
      </c>
      <c r="C26" s="230">
        <v>0</v>
      </c>
      <c r="D26" s="230">
        <v>0</v>
      </c>
      <c r="E26" s="230">
        <v>0</v>
      </c>
      <c r="F26" s="230">
        <v>0</v>
      </c>
      <c r="G26" s="230">
        <v>0</v>
      </c>
      <c r="H26" s="230">
        <v>0</v>
      </c>
      <c r="I26" s="230" t="s">
        <v>74</v>
      </c>
      <c r="J26" s="230" t="s">
        <v>74</v>
      </c>
      <c r="K26" s="230" t="s">
        <v>74</v>
      </c>
      <c r="L26" s="230" t="s">
        <v>74</v>
      </c>
      <c r="M26" s="129"/>
      <c r="N26" s="129"/>
      <c r="O26" s="129"/>
      <c r="P26" s="169"/>
    </row>
    <row r="27" spans="1:16" ht="15.75" thickBot="1">
      <c r="A27" s="138" t="s">
        <v>109</v>
      </c>
      <c r="B27" s="251">
        <v>17.513999999999999</v>
      </c>
      <c r="C27" s="231">
        <v>19.492000000000001</v>
      </c>
      <c r="D27" s="231">
        <v>20.024000000000001</v>
      </c>
      <c r="E27" s="231">
        <v>23</v>
      </c>
      <c r="F27" s="231">
        <v>25</v>
      </c>
      <c r="G27" s="231">
        <v>26.874999999999996</v>
      </c>
      <c r="H27" s="231">
        <v>27.396999999999998</v>
      </c>
      <c r="I27" s="231">
        <v>30.58</v>
      </c>
      <c r="J27" s="231">
        <v>35.262</v>
      </c>
      <c r="K27" s="231">
        <v>43.073</v>
      </c>
      <c r="L27" s="231">
        <v>45.362999999999992</v>
      </c>
      <c r="M27" s="129"/>
      <c r="N27" s="129"/>
      <c r="O27" s="129"/>
      <c r="P27" s="169"/>
    </row>
    <row r="28" spans="1:16" ht="15.75" thickTop="1">
      <c r="A28" s="328"/>
      <c r="B28" s="328"/>
      <c r="C28" s="328"/>
      <c r="D28" s="328"/>
      <c r="E28" s="328"/>
      <c r="F28" s="328"/>
      <c r="G28" s="328"/>
      <c r="H28" s="328"/>
      <c r="I28" s="328"/>
      <c r="J28" s="328"/>
      <c r="K28" s="328"/>
      <c r="L28" s="328"/>
      <c r="M28" s="328"/>
      <c r="N28" s="328"/>
      <c r="O28" s="328"/>
    </row>
    <row r="32" spans="1:16">
      <c r="B32" s="173"/>
      <c r="C32" s="173"/>
      <c r="D32" s="173"/>
      <c r="E32" s="173"/>
      <c r="F32" s="173"/>
      <c r="G32" s="173"/>
      <c r="H32" s="173"/>
      <c r="I32" s="173"/>
      <c r="J32" s="173"/>
      <c r="K32" s="173"/>
      <c r="L32" s="173"/>
      <c r="M32" s="173"/>
      <c r="N32" s="173"/>
      <c r="O32" s="173"/>
    </row>
  </sheetData>
  <sheetProtection formatCells="0" formatColumns="0" formatRows="0" insertColumns="0" insertRows="0" insertHyperlinks="0" deleteColumns="0" deleteRows="0" sort="0" autoFilter="0" pivotTables="0"/>
  <mergeCells count="1">
    <mergeCell ref="A28:O28"/>
  </mergeCells>
  <pageMargins left="0.70866141732283472" right="0.70866141732283472" top="0.74803149606299213" bottom="0.74803149606299213" header="0.31496062992125984" footer="0.31496062992125984"/>
  <pageSetup paperSize="9" scale="66" orientation="landscape"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tint="-0.499984740745262"/>
    <pageSetUpPr fitToPage="1"/>
  </sheetPr>
  <dimension ref="A1:BV31"/>
  <sheetViews>
    <sheetView zoomScaleNormal="100" workbookViewId="0">
      <pane ySplit="2" topLeftCell="A3" activePane="bottomLeft" state="frozen"/>
      <selection pane="bottomLeft" activeCell="B12" sqref="B12"/>
    </sheetView>
  </sheetViews>
  <sheetFormatPr defaultColWidth="9.140625" defaultRowHeight="15" outlineLevelCol="1"/>
  <cols>
    <col min="1" max="1" width="53" style="18" customWidth="1"/>
    <col min="2" max="13" width="14.28515625" style="18" customWidth="1"/>
    <col min="14" max="21" width="14.28515625" style="18" customWidth="1" outlineLevel="1"/>
    <col min="22" max="22" width="12.140625" style="18" customWidth="1" outlineLevel="1"/>
    <col min="23" max="25" width="12.28515625" style="18" customWidth="1" outlineLevel="1"/>
    <col min="26" max="32" width="12" style="18" customWidth="1" outlineLevel="1"/>
    <col min="33" max="33" width="12.85546875" style="18" customWidth="1" outlineLevel="1"/>
    <col min="34" max="34" width="12.140625" style="18" customWidth="1" outlineLevel="1"/>
    <col min="35" max="35" width="12.7109375" style="18" customWidth="1" outlineLevel="1"/>
    <col min="36" max="36" width="12" style="18" customWidth="1" outlineLevel="1"/>
    <col min="37" max="37" width="13" style="18" customWidth="1" outlineLevel="1"/>
    <col min="38" max="38" width="6.85546875" style="18" customWidth="1"/>
    <col min="39" max="50" width="10.85546875" style="18" customWidth="1"/>
    <col min="51" max="68" width="10.85546875" style="18" customWidth="1" outlineLevel="1"/>
    <col min="69" max="73" width="9.140625" style="18" customWidth="1" outlineLevel="1"/>
    <col min="74" max="16384" width="9.140625" style="18"/>
  </cols>
  <sheetData>
    <row r="1" spans="1:74">
      <c r="A1" s="132" t="s">
        <v>326</v>
      </c>
      <c r="B1" s="132"/>
      <c r="C1" s="132"/>
      <c r="D1" s="132"/>
      <c r="E1" s="132"/>
      <c r="F1" s="132"/>
      <c r="G1" s="132"/>
      <c r="H1" s="132"/>
      <c r="I1" s="132"/>
      <c r="J1" s="132"/>
      <c r="K1" s="132"/>
      <c r="L1" s="132"/>
      <c r="M1" s="132"/>
      <c r="N1" s="132"/>
      <c r="O1" s="132"/>
      <c r="P1" s="132"/>
      <c r="Q1" s="132"/>
      <c r="R1" s="132"/>
      <c r="S1" s="132"/>
      <c r="T1" s="132"/>
      <c r="U1" s="132"/>
      <c r="V1" s="132"/>
      <c r="W1" s="132"/>
      <c r="X1" s="132"/>
      <c r="Y1" s="132"/>
      <c r="Z1" s="132"/>
      <c r="AA1" s="132"/>
      <c r="AB1" s="132"/>
      <c r="AC1" s="132"/>
      <c r="AD1" s="132"/>
      <c r="AE1" s="132"/>
      <c r="AF1" s="132"/>
      <c r="AG1" s="132"/>
      <c r="AH1" s="132"/>
      <c r="AI1" s="132"/>
      <c r="AJ1" s="132"/>
      <c r="AK1" s="133"/>
      <c r="AL1" s="169"/>
      <c r="AM1" s="169"/>
      <c r="AN1" s="169"/>
      <c r="AO1" s="169"/>
      <c r="AP1" s="169"/>
      <c r="AQ1" s="169"/>
      <c r="AR1" s="169"/>
      <c r="AS1" s="169"/>
      <c r="AT1" s="169"/>
      <c r="AU1" s="169"/>
      <c r="AV1" s="169"/>
      <c r="AW1" s="169"/>
      <c r="AX1" s="169"/>
      <c r="AY1" s="169"/>
      <c r="AZ1" s="169"/>
      <c r="BA1" s="169"/>
      <c r="BB1" s="169"/>
      <c r="BC1" s="169"/>
      <c r="BD1" s="169"/>
      <c r="BE1" s="169"/>
      <c r="BF1" s="169"/>
      <c r="BG1" s="169"/>
      <c r="BH1" s="169"/>
      <c r="BI1" s="169"/>
      <c r="BJ1" s="169"/>
      <c r="BK1" s="169"/>
      <c r="BL1" s="169"/>
      <c r="BM1" s="169"/>
      <c r="BN1" s="169"/>
      <c r="BO1" s="169"/>
      <c r="BP1" s="169"/>
      <c r="BQ1" s="169"/>
      <c r="BR1" s="169"/>
      <c r="BS1" s="169"/>
      <c r="BT1" s="169"/>
      <c r="BU1" s="169"/>
      <c r="BV1" s="169"/>
    </row>
    <row r="2" spans="1:74">
      <c r="A2" s="134" t="s">
        <v>33</v>
      </c>
      <c r="B2" s="115" t="s">
        <v>366</v>
      </c>
      <c r="C2" s="115" t="s">
        <v>343</v>
      </c>
      <c r="D2" s="115" t="s">
        <v>330</v>
      </c>
      <c r="E2" s="115" t="s">
        <v>323</v>
      </c>
      <c r="F2" s="115" t="s">
        <v>315</v>
      </c>
      <c r="G2" s="115" t="s">
        <v>287</v>
      </c>
      <c r="H2" s="115" t="s">
        <v>280</v>
      </c>
      <c r="I2" s="115" t="s">
        <v>275</v>
      </c>
      <c r="J2" s="115" t="s">
        <v>271</v>
      </c>
      <c r="K2" s="115" t="s">
        <v>266</v>
      </c>
      <c r="L2" s="115" t="s">
        <v>265</v>
      </c>
      <c r="M2" s="115" t="s">
        <v>264</v>
      </c>
      <c r="N2" s="115" t="s">
        <v>263</v>
      </c>
      <c r="O2" s="115" t="s">
        <v>262</v>
      </c>
      <c r="P2" s="115" t="s">
        <v>261</v>
      </c>
      <c r="Q2" s="115" t="s">
        <v>260</v>
      </c>
      <c r="R2" s="115" t="s">
        <v>259</v>
      </c>
      <c r="S2" s="115" t="s">
        <v>258</v>
      </c>
      <c r="T2" s="115" t="s">
        <v>257</v>
      </c>
      <c r="U2" s="115" t="s">
        <v>256</v>
      </c>
      <c r="V2" s="115" t="s">
        <v>255</v>
      </c>
      <c r="W2" s="115" t="s">
        <v>254</v>
      </c>
      <c r="X2" s="115" t="s">
        <v>253</v>
      </c>
      <c r="Y2" s="115" t="s">
        <v>252</v>
      </c>
      <c r="Z2" s="115" t="s">
        <v>251</v>
      </c>
      <c r="AA2" s="115" t="s">
        <v>248</v>
      </c>
      <c r="AB2" s="115" t="s">
        <v>244</v>
      </c>
      <c r="AC2" s="115" t="s">
        <v>207</v>
      </c>
      <c r="AD2" s="115" t="s">
        <v>205</v>
      </c>
      <c r="AE2" s="115" t="s">
        <v>188</v>
      </c>
      <c r="AF2" s="115" t="s">
        <v>176</v>
      </c>
      <c r="AG2" s="115" t="s">
        <v>177</v>
      </c>
      <c r="AH2" s="115" t="s">
        <v>178</v>
      </c>
      <c r="AI2" s="115" t="s">
        <v>179</v>
      </c>
      <c r="AJ2" s="115" t="s">
        <v>180</v>
      </c>
      <c r="AK2" s="115" t="s">
        <v>181</v>
      </c>
      <c r="AL2" s="169"/>
      <c r="AM2" s="169"/>
      <c r="AN2" s="169"/>
      <c r="AO2" s="169"/>
      <c r="AP2" s="169"/>
      <c r="AQ2" s="169"/>
      <c r="AR2" s="169"/>
      <c r="AS2" s="169"/>
      <c r="AT2" s="169"/>
      <c r="AU2" s="169"/>
      <c r="AV2" s="169"/>
      <c r="AW2" s="169"/>
      <c r="AX2" s="169"/>
      <c r="AY2" s="169"/>
      <c r="AZ2" s="169"/>
      <c r="BA2" s="169"/>
      <c r="BB2" s="169"/>
      <c r="BC2" s="169"/>
      <c r="BD2" s="169"/>
      <c r="BE2" s="169"/>
      <c r="BF2" s="169"/>
      <c r="BG2" s="169"/>
      <c r="BH2" s="169"/>
      <c r="BI2" s="169"/>
      <c r="BJ2" s="169"/>
      <c r="BK2" s="169"/>
      <c r="BL2" s="169"/>
      <c r="BM2" s="169"/>
      <c r="BN2" s="169"/>
      <c r="BO2" s="169"/>
      <c r="BP2" s="169"/>
      <c r="BQ2" s="169"/>
      <c r="BR2" s="169"/>
      <c r="BS2" s="169"/>
      <c r="BT2" s="169"/>
      <c r="BU2" s="169"/>
      <c r="BV2" s="169"/>
    </row>
    <row r="3" spans="1:74">
      <c r="A3" s="135" t="s">
        <v>159</v>
      </c>
      <c r="B3" s="135"/>
      <c r="C3" s="135"/>
      <c r="D3" s="135"/>
      <c r="E3" s="135"/>
      <c r="F3" s="135"/>
      <c r="G3" s="135"/>
      <c r="H3" s="135"/>
      <c r="I3" s="135"/>
      <c r="J3" s="135"/>
      <c r="K3" s="135"/>
      <c r="L3" s="135"/>
      <c r="M3" s="135"/>
      <c r="N3" s="135"/>
      <c r="O3" s="135"/>
      <c r="P3" s="135"/>
      <c r="Q3" s="135"/>
      <c r="R3" s="135"/>
      <c r="S3" s="135"/>
      <c r="T3" s="135"/>
      <c r="U3" s="135"/>
      <c r="V3" s="135"/>
      <c r="W3" s="135"/>
      <c r="X3" s="135"/>
      <c r="Y3" s="135"/>
      <c r="Z3" s="135"/>
      <c r="AA3" s="135"/>
      <c r="AB3" s="135"/>
      <c r="AC3" s="135"/>
      <c r="AD3" s="135"/>
      <c r="AE3" s="135"/>
      <c r="AF3" s="135"/>
      <c r="AG3" s="135"/>
      <c r="AH3" s="136"/>
      <c r="AI3" s="136"/>
      <c r="AJ3" s="136"/>
      <c r="AK3" s="136"/>
      <c r="AL3" s="169"/>
      <c r="AM3" s="329" t="s">
        <v>155</v>
      </c>
      <c r="AN3" s="329"/>
      <c r="AO3" s="329"/>
      <c r="AP3" s="329"/>
      <c r="AQ3" s="329"/>
      <c r="AR3" s="329"/>
      <c r="AS3" s="329"/>
      <c r="AT3" s="329"/>
      <c r="AU3" s="329"/>
      <c r="AV3" s="329"/>
      <c r="AW3" s="329"/>
      <c r="AX3" s="329"/>
      <c r="AY3" s="329"/>
      <c r="AZ3" s="329"/>
      <c r="BA3" s="329"/>
      <c r="BB3" s="329"/>
      <c r="BC3" s="329"/>
      <c r="BD3" s="329"/>
      <c r="BE3" s="329"/>
      <c r="BF3" s="329"/>
      <c r="BG3" s="329"/>
      <c r="BH3" s="329"/>
      <c r="BI3" s="329"/>
      <c r="BJ3" s="329"/>
      <c r="BK3" s="329"/>
      <c r="BL3" s="329"/>
      <c r="BM3" s="329"/>
      <c r="BN3" s="329"/>
      <c r="BO3" s="329"/>
      <c r="BP3" s="329"/>
      <c r="BQ3" s="329"/>
      <c r="BR3" s="329"/>
      <c r="BS3" s="329"/>
      <c r="BT3" s="329"/>
      <c r="BU3" s="329"/>
      <c r="BV3" s="169"/>
    </row>
    <row r="4" spans="1:74">
      <c r="A4" s="278" t="s">
        <v>299</v>
      </c>
      <c r="B4" s="250">
        <f>826.115+48.158+1.618+3.796-1.243</f>
        <v>878.44400000000007</v>
      </c>
      <c r="C4" s="230">
        <f>826.115+48.158+1.618+3.796-1.243</f>
        <v>878.44400000000007</v>
      </c>
      <c r="D4" s="230">
        <v>878.44400000000007</v>
      </c>
      <c r="E4" s="230">
        <v>878.44400000000007</v>
      </c>
      <c r="F4" s="230">
        <v>1116.0239999999999</v>
      </c>
      <c r="G4" s="230">
        <v>1116.0239999999999</v>
      </c>
      <c r="H4" s="230">
        <v>1116.0239999999999</v>
      </c>
      <c r="I4" s="230">
        <f>1041.032+76.235-1.243</f>
        <v>1116.0239999999999</v>
      </c>
      <c r="J4" s="230">
        <f>1111.604+86.826+1.477+15.09</f>
        <v>1214.9970000000001</v>
      </c>
      <c r="K4" s="230">
        <f>1111.604+86.826+1.477+15.09</f>
        <v>1214.9970000000001</v>
      </c>
      <c r="L4" s="230">
        <f>1111.604+86.826+1.477+15.09</f>
        <v>1214.9970000000001</v>
      </c>
      <c r="M4" s="230">
        <f>1111.604+86.826+1.477+15.09</f>
        <v>1214.9970000000001</v>
      </c>
      <c r="N4" s="230">
        <f>1349.609+105.644+1.477+15.775</f>
        <v>1472.5050000000001</v>
      </c>
      <c r="O4" s="230">
        <f>1349.609+105.644+1.477+15.775</f>
        <v>1472.5050000000001</v>
      </c>
      <c r="P4" s="230">
        <f>1349.609+105.644+1.477+15.775</f>
        <v>1472.5050000000001</v>
      </c>
      <c r="Q4" s="230">
        <f>1349.609+105.644+1.477</f>
        <v>1456.73</v>
      </c>
      <c r="R4" s="230">
        <f>1377.453+110.823+1.477</f>
        <v>1489.7530000000002</v>
      </c>
      <c r="S4" s="230">
        <f>1377.453+110.823+1.477</f>
        <v>1489.7530000000002</v>
      </c>
      <c r="T4" s="230">
        <f>1377.453+110.823+1.477</f>
        <v>1489.7530000000002</v>
      </c>
      <c r="U4" s="230">
        <f>1377.453+110.823+1.477</f>
        <v>1489.7530000000002</v>
      </c>
      <c r="V4" s="230">
        <f>1692.309-88.022</f>
        <v>1604.287</v>
      </c>
      <c r="W4" s="230">
        <f>1692.309-88.022</f>
        <v>1604.287</v>
      </c>
      <c r="X4" s="230">
        <f>1692.309-88.022</f>
        <v>1604.287</v>
      </c>
      <c r="Y4" s="230">
        <f>1692.309-88.022-0.001</f>
        <v>1604.2860000000001</v>
      </c>
      <c r="Z4" s="230">
        <v>1641.422</v>
      </c>
      <c r="AA4" s="230">
        <v>1641.422</v>
      </c>
      <c r="AB4" s="230">
        <v>1641.422</v>
      </c>
      <c r="AC4" s="230">
        <v>1641.422</v>
      </c>
      <c r="AD4" s="141">
        <v>1427.2729999999999</v>
      </c>
      <c r="AE4" s="141">
        <v>1427.2729999999999</v>
      </c>
      <c r="AF4" s="141">
        <v>1427.2729999999999</v>
      </c>
      <c r="AG4" s="141">
        <v>1427.2739999999999</v>
      </c>
      <c r="AH4" s="141">
        <v>542.35799999999995</v>
      </c>
      <c r="AI4" s="141">
        <v>542.35799999999995</v>
      </c>
      <c r="AJ4" s="141">
        <v>542.35799999999995</v>
      </c>
      <c r="AK4" s="170">
        <v>542.35799999999995</v>
      </c>
      <c r="AL4" s="169"/>
      <c r="AM4" s="169"/>
      <c r="AN4" s="169"/>
      <c r="AO4" s="169"/>
      <c r="AP4" s="169"/>
      <c r="AQ4" s="169"/>
      <c r="AR4" s="169"/>
      <c r="AS4" s="169"/>
      <c r="AT4" s="169"/>
      <c r="AU4" s="169"/>
      <c r="AV4" s="169"/>
      <c r="AW4" s="169"/>
      <c r="AX4" s="169"/>
      <c r="AY4" s="169"/>
      <c r="AZ4" s="169"/>
      <c r="BA4" s="169"/>
      <c r="BB4" s="169"/>
      <c r="BC4" s="169"/>
      <c r="BD4" s="169"/>
      <c r="BE4" s="169"/>
      <c r="BF4" s="169"/>
      <c r="BG4" s="169"/>
      <c r="BH4" s="169"/>
      <c r="BI4" s="169"/>
      <c r="BJ4" s="169"/>
      <c r="BK4" s="169"/>
      <c r="BL4" s="169"/>
      <c r="BM4" s="169"/>
      <c r="BN4" s="169"/>
      <c r="BO4" s="169"/>
      <c r="BP4" s="169"/>
      <c r="BQ4" s="169"/>
      <c r="BR4" s="169"/>
      <c r="BS4" s="169"/>
      <c r="BT4" s="169"/>
      <c r="BU4" s="169"/>
      <c r="BV4" s="169"/>
    </row>
    <row r="5" spans="1:74">
      <c r="A5" s="278" t="s">
        <v>139</v>
      </c>
      <c r="B5" s="250">
        <v>30.687000000000001</v>
      </c>
      <c r="C5" s="230">
        <v>27.582000000000001</v>
      </c>
      <c r="D5" s="230">
        <v>14.386999999999999</v>
      </c>
      <c r="E5" s="230">
        <v>4.8470000000000004</v>
      </c>
      <c r="F5" s="230">
        <v>21.719000000000001</v>
      </c>
      <c r="G5" s="230">
        <v>18.437000000000001</v>
      </c>
      <c r="H5" s="230">
        <v>6.6139999999999999</v>
      </c>
      <c r="I5" s="230">
        <v>2.0409999999999999</v>
      </c>
      <c r="J5" s="230">
        <v>86.150999999999996</v>
      </c>
      <c r="K5" s="230">
        <v>84.06</v>
      </c>
      <c r="L5" s="230">
        <v>26.169</v>
      </c>
      <c r="M5" s="230">
        <f>5.185+3.037</f>
        <v>8.2219999999999995</v>
      </c>
      <c r="N5" s="230">
        <f>33.227+0.182+1.046</f>
        <v>34.454999999999998</v>
      </c>
      <c r="O5" s="230">
        <f>28.644+0.172</f>
        <v>28.815999999999999</v>
      </c>
      <c r="P5" s="230">
        <f>21.257</f>
        <v>21.257000000000001</v>
      </c>
      <c r="Q5" s="230">
        <f>11.404</f>
        <v>11.404</v>
      </c>
      <c r="R5" s="230">
        <f>123.558+21.805</f>
        <v>145.363</v>
      </c>
      <c r="S5" s="230">
        <f>71.845+2.563</f>
        <v>74.408000000000001</v>
      </c>
      <c r="T5" s="230">
        <f>27.73+2.459</f>
        <v>30.189</v>
      </c>
      <c r="U5" s="230">
        <f>12.234+0.017</f>
        <v>12.250999999999999</v>
      </c>
      <c r="V5" s="230">
        <f>176.689+19.964</f>
        <v>196.65299999999999</v>
      </c>
      <c r="W5" s="230">
        <f>139.661+19.645</f>
        <v>159.30600000000001</v>
      </c>
      <c r="X5" s="230">
        <f>102.31+23.744-0.001</f>
        <v>126.053</v>
      </c>
      <c r="Y5" s="230">
        <v>45.381</v>
      </c>
      <c r="Z5" s="230">
        <v>427.82799999999997</v>
      </c>
      <c r="AA5" s="230">
        <v>311.15699999999998</v>
      </c>
      <c r="AB5" s="230">
        <v>220.33600000000001</v>
      </c>
      <c r="AC5" s="230">
        <v>133.577</v>
      </c>
      <c r="AD5" s="141">
        <v>519.65700000000004</v>
      </c>
      <c r="AE5" s="141">
        <v>355.71499999999997</v>
      </c>
      <c r="AF5" s="141">
        <v>229.24700000000001</v>
      </c>
      <c r="AG5" s="141">
        <v>127.857</v>
      </c>
      <c r="AH5" s="141">
        <v>1085.75</v>
      </c>
      <c r="AI5" s="141">
        <v>893.94500000000005</v>
      </c>
      <c r="AJ5" s="141">
        <v>690.49199999999996</v>
      </c>
      <c r="AK5" s="170">
        <v>285.447</v>
      </c>
      <c r="AL5" s="169"/>
      <c r="AM5" s="169"/>
      <c r="AN5" s="169"/>
      <c r="AO5" s="169"/>
      <c r="AP5" s="169"/>
      <c r="AQ5" s="169"/>
      <c r="AR5" s="169"/>
      <c r="AS5" s="169"/>
      <c r="AT5" s="169"/>
      <c r="AU5" s="169"/>
      <c r="AV5" s="169"/>
      <c r="AW5" s="169"/>
      <c r="AX5" s="169"/>
      <c r="AY5" s="169"/>
      <c r="AZ5" s="169"/>
      <c r="BA5" s="169"/>
      <c r="BB5" s="169"/>
      <c r="BC5" s="169"/>
      <c r="BD5" s="169"/>
      <c r="BE5" s="169"/>
      <c r="BF5" s="169"/>
      <c r="BG5" s="169"/>
      <c r="BH5" s="169"/>
      <c r="BI5" s="169"/>
      <c r="BJ5" s="169"/>
      <c r="BK5" s="169"/>
      <c r="BL5" s="169"/>
      <c r="BM5" s="169"/>
      <c r="BN5" s="169"/>
      <c r="BO5" s="169"/>
      <c r="BP5" s="169"/>
      <c r="BQ5" s="169"/>
      <c r="BR5" s="169"/>
      <c r="BS5" s="169"/>
      <c r="BT5" s="169"/>
      <c r="BU5" s="169"/>
      <c r="BV5" s="169"/>
    </row>
    <row r="6" spans="1:74">
      <c r="A6" s="278" t="s">
        <v>300</v>
      </c>
      <c r="B6" s="250">
        <v>-175.67000000000002</v>
      </c>
      <c r="C6" s="230">
        <v>-82.311000000000007</v>
      </c>
      <c r="D6" s="230">
        <v>-56.744999999999997</v>
      </c>
      <c r="E6" s="230">
        <v>-17.292000000000002</v>
      </c>
      <c r="F6" s="230">
        <v>-194.392</v>
      </c>
      <c r="G6" s="230">
        <v>-100.562</v>
      </c>
      <c r="H6" s="230">
        <v>-70.631</v>
      </c>
      <c r="I6" s="230">
        <v>-40.576000000000001</v>
      </c>
      <c r="J6" s="230">
        <v>-162.267</v>
      </c>
      <c r="K6" s="230">
        <v>-124.738</v>
      </c>
      <c r="L6" s="230">
        <v>-87.262</v>
      </c>
      <c r="M6" s="230">
        <f>-44.014</f>
        <v>-44.014000000000003</v>
      </c>
      <c r="N6" s="230">
        <f>-123.52-10.1-5.506</f>
        <v>-139.126</v>
      </c>
      <c r="O6" s="230">
        <f>-96.002-4.88-5.506</f>
        <v>-106.38799999999999</v>
      </c>
      <c r="P6" s="230">
        <f>-76.009</f>
        <v>-76.009</v>
      </c>
      <c r="Q6" s="230">
        <f>-24.315</f>
        <v>-24.315000000000001</v>
      </c>
      <c r="R6" s="230">
        <f>-79.862</f>
        <v>-79.861999999999995</v>
      </c>
      <c r="S6" s="230">
        <f>-44.244-3.33</f>
        <v>-47.573999999999998</v>
      </c>
      <c r="T6" s="230">
        <f>-21.904-1.677</f>
        <v>-23.581</v>
      </c>
      <c r="U6" s="230">
        <f>-13.017-0.904</f>
        <v>-13.920999999999999</v>
      </c>
      <c r="V6" s="230">
        <f>-193.526-13.129</f>
        <v>-206.655</v>
      </c>
      <c r="W6" s="230">
        <f>-148.571-9.932</f>
        <v>-158.50299999999999</v>
      </c>
      <c r="X6" s="230">
        <f>-80.725-10.845+0.001</f>
        <v>-91.568999999999988</v>
      </c>
      <c r="Y6" s="230">
        <v>-30.413</v>
      </c>
      <c r="Z6" s="230">
        <v>-196.357</v>
      </c>
      <c r="AA6" s="230">
        <v>-153.24700000000001</v>
      </c>
      <c r="AB6" s="230">
        <v>-125.539</v>
      </c>
      <c r="AC6" s="230">
        <v>-54.716000000000001</v>
      </c>
      <c r="AD6" s="141">
        <v>-257.66199999999998</v>
      </c>
      <c r="AE6" s="141">
        <v>-204.06</v>
      </c>
      <c r="AF6" s="141">
        <v>-139.803</v>
      </c>
      <c r="AG6" s="141">
        <v>-110.221</v>
      </c>
      <c r="AH6" s="141">
        <v>-165.739</v>
      </c>
      <c r="AI6" s="141">
        <v>-110.072</v>
      </c>
      <c r="AJ6" s="141">
        <v>-94.7</v>
      </c>
      <c r="AK6" s="170">
        <v>-48.665999999999997</v>
      </c>
      <c r="AL6" s="169"/>
      <c r="AM6" s="169"/>
      <c r="AN6" s="169"/>
      <c r="AO6" s="169"/>
      <c r="AP6" s="169"/>
      <c r="AQ6" s="169"/>
      <c r="AR6" s="169"/>
      <c r="AS6" s="169"/>
      <c r="AT6" s="169"/>
      <c r="AU6" s="169"/>
      <c r="AV6" s="169"/>
      <c r="AW6" s="169"/>
      <c r="AX6" s="169"/>
      <c r="AY6" s="169"/>
      <c r="AZ6" s="169"/>
      <c r="BA6" s="169"/>
      <c r="BB6" s="169"/>
      <c r="BC6" s="169"/>
      <c r="BD6" s="169"/>
      <c r="BE6" s="169"/>
      <c r="BF6" s="169"/>
      <c r="BG6" s="169"/>
      <c r="BH6" s="169"/>
      <c r="BI6" s="169"/>
      <c r="BJ6" s="169"/>
      <c r="BK6" s="169"/>
      <c r="BL6" s="169"/>
      <c r="BM6" s="169"/>
      <c r="BN6" s="169"/>
      <c r="BO6" s="169"/>
      <c r="BP6" s="169"/>
      <c r="BQ6" s="169"/>
      <c r="BR6" s="169"/>
      <c r="BS6" s="169"/>
      <c r="BT6" s="169"/>
      <c r="BU6" s="169"/>
      <c r="BV6" s="169"/>
    </row>
    <row r="7" spans="1:74">
      <c r="A7" s="278" t="s">
        <v>301</v>
      </c>
      <c r="B7" s="250">
        <v>-1E-3</v>
      </c>
      <c r="C7" s="230">
        <v>0</v>
      </c>
      <c r="D7" s="230">
        <v>0</v>
      </c>
      <c r="E7" s="230">
        <v>0</v>
      </c>
      <c r="F7" s="230">
        <v>-17.827000000000002</v>
      </c>
      <c r="G7" s="230">
        <v>-18.562999999999999</v>
      </c>
      <c r="H7" s="230">
        <v>-18.562999999999999</v>
      </c>
      <c r="I7" s="230">
        <v>-18.562999999999999</v>
      </c>
      <c r="J7" s="230">
        <v>-0.20899999999999999</v>
      </c>
      <c r="K7" s="230">
        <v>-0.20799999999999999</v>
      </c>
      <c r="L7" s="230">
        <v>0</v>
      </c>
      <c r="M7" s="230">
        <v>0</v>
      </c>
      <c r="N7" s="230">
        <f>-5.506-103.069+5.506</f>
        <v>-103.069</v>
      </c>
      <c r="O7" s="230">
        <f>-5.506-100.975+5.506</f>
        <v>-100.97499999999999</v>
      </c>
      <c r="P7" s="230">
        <f>-5.506</f>
        <v>-5.5060000000000002</v>
      </c>
      <c r="Q7" s="230">
        <f>-3.38-1.696</f>
        <v>-5.0759999999999996</v>
      </c>
      <c r="R7" s="230">
        <f>-57.525-1.248</f>
        <v>-58.772999999999996</v>
      </c>
      <c r="S7" s="230">
        <f>-11.321</f>
        <v>-11.321</v>
      </c>
      <c r="T7" s="230">
        <f>-10.651</f>
        <v>-10.651</v>
      </c>
      <c r="U7" s="230">
        <v>0</v>
      </c>
      <c r="V7" s="230">
        <f>-7.015-0.507+1.514</f>
        <v>-6.0079999999999991</v>
      </c>
      <c r="W7" s="230">
        <f>-5.456-0.553</f>
        <v>-6.0090000000000003</v>
      </c>
      <c r="X7" s="230">
        <f>-3.816-2.427</f>
        <v>-6.2430000000000003</v>
      </c>
      <c r="Y7" s="230"/>
      <c r="Z7" s="230">
        <v>-166.572</v>
      </c>
      <c r="AA7" s="230">
        <v>-166.572</v>
      </c>
      <c r="AB7" s="230">
        <v>-166.572</v>
      </c>
      <c r="AC7" s="230">
        <v>-166.572</v>
      </c>
      <c r="AD7" s="141"/>
      <c r="AE7" s="141"/>
      <c r="AF7" s="141"/>
      <c r="AG7" s="141"/>
      <c r="AH7" s="141"/>
      <c r="AI7" s="141"/>
      <c r="AJ7" s="141"/>
      <c r="AK7" s="170"/>
      <c r="AL7" s="169"/>
      <c r="AM7" s="169"/>
      <c r="AN7" s="169"/>
      <c r="AO7" s="169"/>
      <c r="AP7" s="169"/>
      <c r="AQ7" s="169"/>
      <c r="AR7" s="169"/>
      <c r="AS7" s="169"/>
      <c r="AT7" s="169"/>
      <c r="AU7" s="169"/>
      <c r="AV7" s="169"/>
      <c r="AW7" s="169"/>
      <c r="AX7" s="169"/>
      <c r="AY7" s="169"/>
      <c r="AZ7" s="169"/>
      <c r="BA7" s="169"/>
      <c r="BB7" s="169"/>
      <c r="BC7" s="169"/>
      <c r="BD7" s="169"/>
      <c r="BE7" s="169"/>
      <c r="BF7" s="169"/>
      <c r="BG7" s="169"/>
      <c r="BH7" s="169"/>
      <c r="BI7" s="169"/>
      <c r="BJ7" s="169"/>
      <c r="BK7" s="169"/>
      <c r="BL7" s="169"/>
      <c r="BM7" s="169"/>
      <c r="BN7" s="169"/>
      <c r="BO7" s="169"/>
      <c r="BP7" s="169"/>
      <c r="BQ7" s="169"/>
      <c r="BR7" s="169"/>
      <c r="BS7" s="169"/>
      <c r="BT7" s="169"/>
      <c r="BU7" s="169"/>
      <c r="BV7" s="169"/>
    </row>
    <row r="8" spans="1:74">
      <c r="A8" s="278" t="s">
        <v>302</v>
      </c>
      <c r="B8" s="250">
        <v>-57.597000000000001</v>
      </c>
      <c r="C8" s="230">
        <v>-41.058999999999997</v>
      </c>
      <c r="D8" s="230">
        <v>-26.158000000000001</v>
      </c>
      <c r="E8" s="230">
        <v>-9.8079999999999998</v>
      </c>
      <c r="F8" s="230">
        <v>-47.08</v>
      </c>
      <c r="G8" s="230">
        <v>-31.956999999999997</v>
      </c>
      <c r="H8" s="230">
        <v>-23.381</v>
      </c>
      <c r="I8" s="230">
        <v>-8.4480000000000004</v>
      </c>
      <c r="J8" s="230">
        <v>-22.648</v>
      </c>
      <c r="K8" s="230">
        <v>-13.349</v>
      </c>
      <c r="L8" s="230">
        <v>-8.2469999999999999</v>
      </c>
      <c r="M8" s="230">
        <f>-4.719</f>
        <v>-4.7190000000000003</v>
      </c>
      <c r="N8" s="230">
        <f>-49.689-0.08+0.001</f>
        <v>-49.768000000000001</v>
      </c>
      <c r="O8" s="230">
        <f>-30.371+0.908-0.093</f>
        <v>-29.555999999999997</v>
      </c>
      <c r="P8" s="230">
        <f>-8.747+0.61-0.078</f>
        <v>-8.2149999999999999</v>
      </c>
      <c r="Q8" s="230">
        <f>-5.956+0.391-0.08</f>
        <v>-5.6450000000000005</v>
      </c>
      <c r="R8" s="230">
        <f>-39.789+0.259-0.147-0.074</f>
        <v>-39.750999999999998</v>
      </c>
      <c r="S8" s="230">
        <f>-35.684-2.461+0.155-0.158</f>
        <v>-38.147999999999996</v>
      </c>
      <c r="T8" s="230">
        <f>-28.591-1.594+0.197+0.08-0.108</f>
        <v>-30.016000000000005</v>
      </c>
      <c r="U8" s="230">
        <f>-3.81-0.129+0.08+0.082-0.084</f>
        <v>-3.8610000000000002</v>
      </c>
      <c r="V8" s="230">
        <f>-25.294+0.963-0.257-73.899-0.037</f>
        <v>-98.524000000000001</v>
      </c>
      <c r="W8" s="230">
        <f>-12.993-0.208-73.899+1.005+0.002+0.009</f>
        <v>-86.084000000000003</v>
      </c>
      <c r="X8" s="230">
        <f>-11.361-73.899+1-0.001</f>
        <v>-84.26100000000001</v>
      </c>
      <c r="Y8" s="230">
        <f>-3.345+98.414-73.899+0.001</f>
        <v>21.171000000000003</v>
      </c>
      <c r="Z8" s="230">
        <f>-14.013-88.022+0.001</f>
        <v>-102.03400000000001</v>
      </c>
      <c r="AA8" s="230">
        <f>2.953-17.191-0.013+0.001</f>
        <v>-14.25</v>
      </c>
      <c r="AB8" s="230">
        <v>-7.17</v>
      </c>
      <c r="AC8" s="230">
        <v>-2.0390000000000001</v>
      </c>
      <c r="AD8" s="141">
        <v>-47.845999999999997</v>
      </c>
      <c r="AE8" s="141">
        <v>-30.664000000000001</v>
      </c>
      <c r="AF8" s="141">
        <v>-14.986000000000001</v>
      </c>
      <c r="AG8" s="141">
        <v>-9.4390000000000001</v>
      </c>
      <c r="AH8" s="141">
        <v>-35.097000000000001</v>
      </c>
      <c r="AI8" s="141">
        <v>-21.603000000000002</v>
      </c>
      <c r="AJ8" s="141">
        <v>-9.3569999999999993</v>
      </c>
      <c r="AK8" s="170">
        <v>-7.0289999999999999</v>
      </c>
      <c r="AL8" s="169"/>
      <c r="AM8" s="169"/>
      <c r="AN8" s="169"/>
      <c r="AO8" s="169"/>
      <c r="AP8" s="169"/>
      <c r="AQ8" s="169"/>
      <c r="AR8" s="169"/>
      <c r="AS8" s="169"/>
      <c r="AT8" s="169"/>
      <c r="AU8" s="169"/>
      <c r="AV8" s="169"/>
      <c r="AW8" s="169"/>
      <c r="AX8" s="169"/>
      <c r="AY8" s="169"/>
      <c r="AZ8" s="169"/>
      <c r="BA8" s="169"/>
      <c r="BB8" s="169"/>
      <c r="BC8" s="169"/>
      <c r="BD8" s="169"/>
      <c r="BE8" s="169"/>
      <c r="BF8" s="169"/>
      <c r="BG8" s="169"/>
      <c r="BH8" s="169"/>
      <c r="BI8" s="169"/>
      <c r="BJ8" s="169"/>
      <c r="BK8" s="169"/>
      <c r="BL8" s="169"/>
      <c r="BM8" s="169"/>
      <c r="BN8" s="169"/>
      <c r="BO8" s="169"/>
      <c r="BP8" s="169"/>
      <c r="BQ8" s="169"/>
      <c r="BR8" s="169"/>
      <c r="BS8" s="169"/>
      <c r="BT8" s="169"/>
      <c r="BU8" s="169"/>
      <c r="BV8" s="169"/>
    </row>
    <row r="9" spans="1:74" ht="15.75" thickBot="1">
      <c r="A9" s="138" t="s">
        <v>305</v>
      </c>
      <c r="B9" s="251">
        <f>648.757+26.866+1.27-1.03</f>
        <v>675.86299999999994</v>
      </c>
      <c r="C9" s="231">
        <f>742.084+40.215+1.423-1.066</f>
        <v>782.65599999999995</v>
      </c>
      <c r="D9" s="231">
        <v>809.928</v>
      </c>
      <c r="E9" s="231">
        <v>856.19099999999992</v>
      </c>
      <c r="F9" s="231">
        <v>878.44400000000007</v>
      </c>
      <c r="G9" s="231">
        <v>983.37899999999991</v>
      </c>
      <c r="H9" s="231">
        <v>1010.0630000000001</v>
      </c>
      <c r="I9" s="231">
        <f>977.525+66.527+7.669-1.243</f>
        <v>1050.4780000000001</v>
      </c>
      <c r="J9" s="231">
        <f>1041.032+76.235-1.243</f>
        <v>1116.0239999999999</v>
      </c>
      <c r="K9" s="231">
        <f>1082.661+79.287-1.186</f>
        <v>1160.7620000000002</v>
      </c>
      <c r="L9" s="231">
        <f>1054.034+92.809-1.186</f>
        <v>1145.6570000000002</v>
      </c>
      <c r="M9" s="231">
        <f>1083.314+82.095+1.477+7.6</f>
        <v>1174.4860000000001</v>
      </c>
      <c r="N9" s="231">
        <f>1111.604+86.826+1.477+15.09</f>
        <v>1214.9970000000001</v>
      </c>
      <c r="O9" s="231">
        <f>1154.301+92.849+1.477+15.775</f>
        <v>1264.402</v>
      </c>
      <c r="P9" s="231">
        <f>1284.82+101.96+1.477+15.775</f>
        <v>1404.0320000000002</v>
      </c>
      <c r="Q9" s="231">
        <f>1328.028+103.593+1.477</f>
        <v>1433.0980000000002</v>
      </c>
      <c r="R9" s="231">
        <f>1349.609+105.644+1.477</f>
        <v>1456.73</v>
      </c>
      <c r="S9" s="231">
        <f>1358.046+107.595+1.477</f>
        <v>1467.1180000000002</v>
      </c>
      <c r="T9" s="231">
        <f>1344.126+110.091+1.477</f>
        <v>1455.694</v>
      </c>
      <c r="U9" s="231">
        <f>1372.858+111.364</f>
        <v>1484.222</v>
      </c>
      <c r="V9" s="231">
        <f>1377.453+110.823+1.477</f>
        <v>1489.7530000000002</v>
      </c>
      <c r="W9" s="231">
        <f>1399.288+113.709</f>
        <v>1512.9970000000001</v>
      </c>
      <c r="X9" s="231">
        <f>1547.267+1</f>
        <v>1548.2670000000001</v>
      </c>
      <c r="Y9" s="231">
        <f>1542.011+98.414</f>
        <v>1640.425</v>
      </c>
      <c r="Z9" s="231">
        <f>1692.309-88.022</f>
        <v>1604.287</v>
      </c>
      <c r="AA9" s="231">
        <f>1558.494+60.016</f>
        <v>1618.51</v>
      </c>
      <c r="AB9" s="231">
        <v>1562.4770000000001</v>
      </c>
      <c r="AC9" s="231">
        <v>1551.672</v>
      </c>
      <c r="AD9" s="142">
        <v>1641.422</v>
      </c>
      <c r="AE9" s="142">
        <v>1548.2639999999999</v>
      </c>
      <c r="AF9" s="142">
        <v>1501.731</v>
      </c>
      <c r="AG9" s="142">
        <v>1435.471</v>
      </c>
      <c r="AH9" s="142">
        <v>1427.2719999999999</v>
      </c>
      <c r="AI9" s="142">
        <v>1304.6279999999999</v>
      </c>
      <c r="AJ9" s="142">
        <v>1128.7929999999999</v>
      </c>
      <c r="AK9" s="97">
        <v>772.11</v>
      </c>
      <c r="AL9" s="169"/>
      <c r="AM9" s="216">
        <f t="shared" ref="AM9:BM9" si="0">SUM(B4:B8)-B9</f>
        <v>0</v>
      </c>
      <c r="AN9" s="216">
        <f t="shared" si="0"/>
        <v>0</v>
      </c>
      <c r="AO9" s="216">
        <f t="shared" si="0"/>
        <v>0</v>
      </c>
      <c r="AP9" s="216">
        <f t="shared" si="0"/>
        <v>0</v>
      </c>
      <c r="AQ9" s="216">
        <f t="shared" si="0"/>
        <v>0</v>
      </c>
      <c r="AR9" s="216">
        <f t="shared" si="0"/>
        <v>0</v>
      </c>
      <c r="AS9" s="216">
        <f t="shared" si="0"/>
        <v>0</v>
      </c>
      <c r="AT9" s="216">
        <f t="shared" si="0"/>
        <v>0</v>
      </c>
      <c r="AU9" s="216">
        <f t="shared" si="0"/>
        <v>0</v>
      </c>
      <c r="AV9" s="216">
        <f t="shared" si="0"/>
        <v>0</v>
      </c>
      <c r="AW9" s="216">
        <f t="shared" si="0"/>
        <v>0</v>
      </c>
      <c r="AX9" s="216">
        <f t="shared" si="0"/>
        <v>0</v>
      </c>
      <c r="AY9" s="216">
        <f t="shared" si="0"/>
        <v>0</v>
      </c>
      <c r="AZ9" s="216">
        <f t="shared" si="0"/>
        <v>0</v>
      </c>
      <c r="BA9" s="216">
        <f t="shared" si="0"/>
        <v>0</v>
      </c>
      <c r="BB9" s="216">
        <f t="shared" si="0"/>
        <v>0</v>
      </c>
      <c r="BC9" s="216">
        <f t="shared" si="0"/>
        <v>0</v>
      </c>
      <c r="BD9" s="216">
        <f t="shared" si="0"/>
        <v>0</v>
      </c>
      <c r="BE9" s="216">
        <f t="shared" si="0"/>
        <v>0</v>
      </c>
      <c r="BF9" s="216">
        <f t="shared" si="0"/>
        <v>0</v>
      </c>
      <c r="BG9" s="216">
        <f t="shared" si="0"/>
        <v>0</v>
      </c>
      <c r="BH9" s="216">
        <f t="shared" si="0"/>
        <v>0</v>
      </c>
      <c r="BI9" s="216">
        <f t="shared" si="0"/>
        <v>0</v>
      </c>
      <c r="BJ9" s="216">
        <f t="shared" si="0"/>
        <v>0</v>
      </c>
      <c r="BK9" s="258">
        <f t="shared" si="0"/>
        <v>0</v>
      </c>
      <c r="BL9" s="31">
        <f t="shared" si="0"/>
        <v>0</v>
      </c>
      <c r="BM9" s="31">
        <f t="shared" si="0"/>
        <v>0</v>
      </c>
      <c r="BN9" s="31">
        <f t="shared" ref="BN9:BU9" si="1">SUM(AD4:AD8)-AD9</f>
        <v>0</v>
      </c>
      <c r="BO9" s="31">
        <f t="shared" si="1"/>
        <v>0</v>
      </c>
      <c r="BP9" s="31">
        <f t="shared" si="1"/>
        <v>0</v>
      </c>
      <c r="BQ9" s="31">
        <f t="shared" si="1"/>
        <v>0</v>
      </c>
      <c r="BR9" s="31">
        <f t="shared" si="1"/>
        <v>0</v>
      </c>
      <c r="BS9" s="31">
        <f t="shared" si="1"/>
        <v>0</v>
      </c>
      <c r="BT9" s="31">
        <f t="shared" si="1"/>
        <v>0</v>
      </c>
      <c r="BU9" s="31">
        <f t="shared" si="1"/>
        <v>0</v>
      </c>
      <c r="BV9" s="169"/>
    </row>
    <row r="10" spans="1:74" ht="15.75" thickTop="1">
      <c r="A10" s="137"/>
      <c r="B10" s="275"/>
      <c r="C10" s="275"/>
      <c r="D10" s="275"/>
      <c r="E10" s="275"/>
      <c r="F10" s="275"/>
      <c r="G10" s="275"/>
      <c r="H10" s="275"/>
      <c r="I10" s="275"/>
      <c r="J10" s="275"/>
      <c r="K10" s="275"/>
      <c r="L10" s="275"/>
      <c r="M10" s="275"/>
      <c r="N10" s="275"/>
      <c r="O10" s="275"/>
      <c r="P10" s="266"/>
      <c r="Q10" s="266"/>
      <c r="R10" s="266"/>
      <c r="S10" s="137"/>
      <c r="T10" s="137"/>
      <c r="U10" s="137"/>
      <c r="V10" s="137"/>
      <c r="W10" s="137"/>
      <c r="X10" s="137"/>
      <c r="Y10" s="137"/>
      <c r="Z10" s="137"/>
      <c r="AA10" s="137"/>
      <c r="AB10" s="137"/>
      <c r="AC10" s="137"/>
      <c r="AD10" s="143"/>
      <c r="AE10" s="143"/>
      <c r="AF10" s="143"/>
      <c r="AG10" s="143"/>
      <c r="AH10" s="144"/>
      <c r="AI10" s="144"/>
      <c r="AJ10" s="144"/>
      <c r="AK10" s="144"/>
      <c r="AL10" s="169"/>
      <c r="AM10" s="287">
        <f>'AS T02 (Key financials-BS)'!H9+'AS T02 (Key financials-BS)'!H10-B9</f>
        <v>9.1449999999999818</v>
      </c>
      <c r="AN10" s="287">
        <f>'AS T02 (Key financials-BS)'!I9+'AS T02 (Key financials-BS)'!I10-C9</f>
        <v>9.5990000000000464</v>
      </c>
      <c r="AO10" s="287">
        <f>'AS T02 (Key financials-BS)'!J9+'AS T02 (Key financials-BS)'!J10-D9</f>
        <v>9.5990000000000464</v>
      </c>
      <c r="AP10" s="287">
        <f>'AS T02 (Key financials-BS)'!K9+'AS T02 (Key financials-BS)'!K10-E9</f>
        <v>9.7760000000000673</v>
      </c>
      <c r="AQ10" s="287">
        <f>'AS T02 (Key financials-BS)'!L9+'AS T02 (Key financials-BS)'!L10-F9</f>
        <v>9.7759999999999536</v>
      </c>
      <c r="AR10" s="287">
        <f>'AS T02 (Key financials-BS)'!M9+'AS T02 (Key financials-BS)'!M10-G9</f>
        <v>10.106000000000108</v>
      </c>
      <c r="AS10" s="287">
        <f>'AS T02 (Key financials-BS)'!N9+'AS T02 (Key financials-BS)'!N10-H9</f>
        <v>10.106999999999971</v>
      </c>
      <c r="AT10" s="287">
        <f>'AS T02 (Key financials-BS)'!O9+'AS T02 (Key financials-BS)'!O10-I9</f>
        <v>10.106999999999971</v>
      </c>
      <c r="AU10" s="287" t="e">
        <f>'AS T02 (Key financials-BS)'!#REF!+'AS T02 (Key financials-BS)'!#REF!-J9</f>
        <v>#REF!</v>
      </c>
      <c r="AV10" s="287" t="e">
        <f>'AS T02 (Key financials-BS)'!#REF!+'AS T02 (Key financials-BS)'!#REF!-K9</f>
        <v>#REF!</v>
      </c>
      <c r="AW10" s="287" t="e">
        <f>'AS T02 (Key financials-BS)'!#REF!+'AS T02 (Key financials-BS)'!#REF!-L9</f>
        <v>#REF!</v>
      </c>
      <c r="AX10" s="287" t="e">
        <f>'AS T02 (Key financials-BS)'!#REF!+'AS T02 (Key financials-BS)'!#REF!-M9</f>
        <v>#REF!</v>
      </c>
      <c r="AY10" s="287" t="e">
        <f>'AS T02 (Key financials-BS)'!#REF!+'AS T02 (Key financials-BS)'!#REF!-N9</f>
        <v>#REF!</v>
      </c>
      <c r="AZ10" s="287" t="e">
        <f>'AS T02 (Key financials-BS)'!#REF!+'AS T02 (Key financials-BS)'!#REF!-O9</f>
        <v>#REF!</v>
      </c>
      <c r="BA10" s="287" t="e">
        <f>'AS T02 (Key financials-BS)'!#REF!+'AS T02 (Key financials-BS)'!#REF!-P9</f>
        <v>#REF!</v>
      </c>
      <c r="BB10" s="287" t="e">
        <f>'AS T02 (Key financials-BS)'!#REF!+'AS T02 (Key financials-BS)'!#REF!-Q9</f>
        <v>#REF!</v>
      </c>
      <c r="BC10" s="287" t="e">
        <f>'AS T02 (Key financials-BS)'!#REF!+'AS T02 (Key financials-BS)'!#REF!-R9</f>
        <v>#REF!</v>
      </c>
      <c r="BD10" s="287" t="e">
        <f>'AS T02 (Key financials-BS)'!#REF!+'AS T02 (Key financials-BS)'!#REF!-S9</f>
        <v>#REF!</v>
      </c>
      <c r="BE10" s="287" t="e">
        <f>'AS T02 (Key financials-BS)'!#REF!+'AS T02 (Key financials-BS)'!#REF!-T9</f>
        <v>#REF!</v>
      </c>
      <c r="BF10" s="287" t="e">
        <f>'AS T02 (Key financials-BS)'!#REF!+'AS T02 (Key financials-BS)'!#REF!-U9</f>
        <v>#REF!</v>
      </c>
      <c r="BG10" s="287" t="e">
        <f>'AS T02 (Key financials-BS)'!#REF!+'AS T02 (Key financials-BS)'!#REF!-V9</f>
        <v>#REF!</v>
      </c>
      <c r="BH10" s="287" t="e">
        <f>'AS T02 (Key financials-BS)'!#REF!+'AS T02 (Key financials-BS)'!#REF!-W9</f>
        <v>#REF!</v>
      </c>
      <c r="BI10" s="287" t="e">
        <f>'AS T02 (Key financials-BS)'!#REF!+'AS T02 (Key financials-BS)'!#REF!-X9</f>
        <v>#REF!</v>
      </c>
      <c r="BJ10" s="288" t="e">
        <f>'AS T02 (Key financials-BS)'!#REF!-Y9</f>
        <v>#REF!</v>
      </c>
      <c r="BK10" s="287" t="e">
        <f>'AS T02 (Key financials-BS)'!#REF!-Z9</f>
        <v>#REF!</v>
      </c>
      <c r="BL10" s="288" t="e">
        <f>'AS T02 (Key financials-BS)'!#REF!-AA9</f>
        <v>#REF!</v>
      </c>
      <c r="BM10" s="31" t="e">
        <f>'AS T02 (Key financials-BS)'!#REF!-AB9</f>
        <v>#REF!</v>
      </c>
      <c r="BN10" s="31" t="e">
        <f>'AS T02 (Key financials-BS)'!#REF!-AD9</f>
        <v>#REF!</v>
      </c>
      <c r="BO10" s="31" t="e">
        <f>'AS T02 (Key financials-BS)'!#REF!-AE9</f>
        <v>#REF!</v>
      </c>
      <c r="BP10" s="31" t="e">
        <f>'AS T02 (Key financials-BS)'!#REF!-AF9</f>
        <v>#REF!</v>
      </c>
      <c r="BQ10" s="31" t="e">
        <f>'AS T02 (Key financials-BS)'!#REF!-AG9</f>
        <v>#REF!</v>
      </c>
      <c r="BR10" s="31" t="e">
        <f>'AS T02 (Key financials-BS)'!#REF!-AH9</f>
        <v>#REF!</v>
      </c>
      <c r="BS10" s="31" t="e">
        <f>'AS T02 (Key financials-BS)'!#REF!-AI9</f>
        <v>#REF!</v>
      </c>
      <c r="BT10" s="31" t="e">
        <f>'AS T02 (Key financials-BS)'!#REF!-AJ9</f>
        <v>#REF!</v>
      </c>
      <c r="BU10" s="216" t="e">
        <f>'AS T02 (Key financials-BS)'!#REF!-AK9</f>
        <v>#REF!</v>
      </c>
      <c r="BV10" s="169"/>
    </row>
    <row r="11" spans="1:74">
      <c r="A11" s="135" t="s">
        <v>28</v>
      </c>
      <c r="B11" s="267"/>
      <c r="C11" s="267"/>
      <c r="D11" s="267"/>
      <c r="E11" s="267"/>
      <c r="F11" s="267"/>
      <c r="G11" s="267"/>
      <c r="H11" s="267"/>
      <c r="I11" s="267"/>
      <c r="J11" s="267"/>
      <c r="K11" s="267"/>
      <c r="L11" s="267"/>
      <c r="M11" s="267"/>
      <c r="N11" s="267"/>
      <c r="O11" s="267"/>
      <c r="P11" s="267"/>
      <c r="Q11" s="267"/>
      <c r="R11" s="267"/>
      <c r="S11" s="203"/>
      <c r="T11" s="203"/>
      <c r="U11" s="203"/>
      <c r="V11" s="203"/>
      <c r="W11" s="203"/>
      <c r="X11" s="203"/>
      <c r="Y11" s="203"/>
      <c r="Z11" s="203"/>
      <c r="AA11" s="203"/>
      <c r="AB11" s="203"/>
      <c r="AC11" s="203"/>
      <c r="AD11" s="145"/>
      <c r="AE11" s="145"/>
      <c r="AF11" s="145"/>
      <c r="AG11" s="145"/>
      <c r="AH11" s="145"/>
      <c r="AI11" s="145"/>
      <c r="AJ11" s="145"/>
      <c r="AK11" s="145"/>
      <c r="AL11" s="169"/>
      <c r="AM11" s="31"/>
      <c r="AN11" s="31"/>
      <c r="AO11" s="31"/>
      <c r="AP11" s="31"/>
      <c r="AQ11" s="31"/>
      <c r="AR11" s="31"/>
      <c r="AS11" s="31"/>
      <c r="AT11" s="31"/>
      <c r="AU11" s="31"/>
      <c r="AV11" s="31"/>
      <c r="AW11" s="31"/>
      <c r="AX11" s="31"/>
      <c r="AY11" s="31"/>
      <c r="AZ11" s="31"/>
      <c r="BA11" s="31"/>
      <c r="BB11" s="31"/>
      <c r="BC11" s="31"/>
      <c r="BD11" s="31"/>
      <c r="BE11" s="31"/>
      <c r="BF11" s="31"/>
      <c r="BG11" s="31"/>
      <c r="BH11" s="31"/>
      <c r="BI11" s="31"/>
      <c r="BJ11" s="31"/>
      <c r="BK11" s="31"/>
      <c r="BL11" s="31"/>
      <c r="BM11" s="31"/>
      <c r="BN11" s="31"/>
      <c r="BO11" s="31"/>
      <c r="BP11" s="31"/>
      <c r="BQ11" s="31"/>
      <c r="BR11" s="31"/>
      <c r="BS11" s="31"/>
      <c r="BT11" s="31"/>
      <c r="BU11" s="31"/>
      <c r="BV11" s="169"/>
    </row>
    <row r="12" spans="1:74">
      <c r="A12" s="279" t="s">
        <v>140</v>
      </c>
      <c r="B12" s="250">
        <v>45.965000000000003</v>
      </c>
      <c r="C12" s="230">
        <v>48.292999999999999</v>
      </c>
      <c r="D12" s="230">
        <v>49.743000000000002</v>
      </c>
      <c r="E12" s="230">
        <v>49.357999999999997</v>
      </c>
      <c r="F12" s="230">
        <v>51.39</v>
      </c>
      <c r="G12" s="230">
        <v>54.823</v>
      </c>
      <c r="H12" s="230">
        <v>56.576000000000001</v>
      </c>
      <c r="I12" s="230">
        <v>63.698999999999998</v>
      </c>
      <c r="J12" s="230">
        <v>68.635000000000005</v>
      </c>
      <c r="K12" s="230">
        <v>74.765000000000001</v>
      </c>
      <c r="L12" s="230">
        <v>76.680000000000007</v>
      </c>
      <c r="M12" s="230">
        <f>72.307+6.674</f>
        <v>78.981000000000009</v>
      </c>
      <c r="N12" s="230">
        <f>74.248+7.787</f>
        <v>82.035000000000011</v>
      </c>
      <c r="O12" s="230">
        <f>78.816+9.399</f>
        <v>88.215000000000003</v>
      </c>
      <c r="P12" s="230">
        <f>130.824+12.583</f>
        <v>143.40700000000001</v>
      </c>
      <c r="Q12" s="230">
        <f>139.659+12.646</f>
        <v>152.30500000000001</v>
      </c>
      <c r="R12" s="230">
        <f>144.915+13.013</f>
        <v>157.928</v>
      </c>
      <c r="S12" s="230">
        <f>162.89+13.808</f>
        <v>176.69799999999998</v>
      </c>
      <c r="T12" s="230">
        <f>167.695+14.348</f>
        <v>182.04300000000001</v>
      </c>
      <c r="U12" s="230">
        <f>169.504+13.552</f>
        <v>183.05599999999998</v>
      </c>
      <c r="V12" s="230">
        <f>167.33+14.375</f>
        <v>181.70500000000001</v>
      </c>
      <c r="W12" s="230">
        <v>182.054</v>
      </c>
      <c r="X12" s="230">
        <v>167.11099999999999</v>
      </c>
      <c r="Y12" s="230">
        <v>171.732</v>
      </c>
      <c r="Z12" s="230">
        <v>163.988</v>
      </c>
      <c r="AA12" s="230">
        <v>162.77600000000001</v>
      </c>
      <c r="AB12" s="230">
        <v>159.084</v>
      </c>
      <c r="AC12" s="230">
        <v>159.482</v>
      </c>
      <c r="AD12" s="141">
        <v>146.214</v>
      </c>
      <c r="AE12" s="141">
        <v>133.822</v>
      </c>
      <c r="AF12" s="141">
        <v>115.23</v>
      </c>
      <c r="AG12" s="141">
        <v>96.671999999999997</v>
      </c>
      <c r="AH12" s="141">
        <v>90.308000000000007</v>
      </c>
      <c r="AI12" s="141">
        <v>85.51</v>
      </c>
      <c r="AJ12" s="141">
        <v>66.37</v>
      </c>
      <c r="AK12" s="170">
        <v>42.548999999999999</v>
      </c>
      <c r="AL12" s="169"/>
      <c r="AM12" s="31"/>
      <c r="AN12" s="31"/>
      <c r="AO12" s="31"/>
      <c r="AP12" s="31"/>
      <c r="AQ12" s="31"/>
      <c r="AR12" s="31"/>
      <c r="AS12" s="31"/>
      <c r="AT12" s="31"/>
      <c r="AU12" s="31"/>
      <c r="AV12" s="31"/>
      <c r="AW12" s="31"/>
      <c r="AX12" s="31"/>
      <c r="AY12" s="31"/>
      <c r="AZ12" s="31"/>
      <c r="BA12" s="31"/>
      <c r="BB12" s="31"/>
      <c r="BC12" s="31"/>
      <c r="BD12" s="31"/>
      <c r="BE12" s="31"/>
      <c r="BF12" s="31"/>
      <c r="BG12" s="31"/>
      <c r="BH12" s="31"/>
      <c r="BI12" s="31"/>
      <c r="BJ12" s="31"/>
      <c r="BK12" s="31"/>
      <c r="BL12" s="31"/>
      <c r="BM12" s="31"/>
      <c r="BN12" s="31"/>
      <c r="BO12" s="31"/>
      <c r="BP12" s="31"/>
      <c r="BQ12" s="31"/>
      <c r="BR12" s="31"/>
      <c r="BS12" s="31"/>
      <c r="BT12" s="31"/>
      <c r="BU12" s="31"/>
      <c r="BV12" s="169"/>
    </row>
    <row r="13" spans="1:74">
      <c r="A13" s="279" t="s">
        <v>141</v>
      </c>
      <c r="B13" s="250">
        <v>74.936999999999998</v>
      </c>
      <c r="C13" s="230">
        <v>120.92400000000001</v>
      </c>
      <c r="D13" s="230">
        <v>112.517</v>
      </c>
      <c r="E13" s="230">
        <v>111.687</v>
      </c>
      <c r="F13" s="230">
        <v>115.571</v>
      </c>
      <c r="G13" s="230">
        <v>135.90899999999999</v>
      </c>
      <c r="H13" s="230">
        <v>141.541</v>
      </c>
      <c r="I13" s="230">
        <v>154.41800000000001</v>
      </c>
      <c r="J13" s="230">
        <v>179.815</v>
      </c>
      <c r="K13" s="230">
        <v>186.95699999999999</v>
      </c>
      <c r="L13" s="230">
        <v>207.21199999999999</v>
      </c>
      <c r="M13" s="230">
        <f>160.839+41.645</f>
        <v>202.48400000000001</v>
      </c>
      <c r="N13" s="230">
        <f>163.789+44.014</f>
        <v>207.803</v>
      </c>
      <c r="O13" s="230">
        <f>171.024+45.731</f>
        <v>216.755</v>
      </c>
      <c r="P13" s="230">
        <f>187.701+49.574</f>
        <v>237.27499999999998</v>
      </c>
      <c r="Q13" s="230">
        <f>186.284+50.205</f>
        <v>236.48899999999998</v>
      </c>
      <c r="R13" s="230">
        <f>189.172+50.276</f>
        <v>239.44800000000001</v>
      </c>
      <c r="S13" s="230">
        <f>168.145+50.511</f>
        <v>218.65600000000001</v>
      </c>
      <c r="T13" s="230">
        <f>142.473+51.237</f>
        <v>193.71</v>
      </c>
      <c r="U13" s="230">
        <f>144.375+51.607</f>
        <v>195.982</v>
      </c>
      <c r="V13" s="230">
        <f>147.568+(50.29+1.477)</f>
        <v>199.33500000000001</v>
      </c>
      <c r="W13" s="230">
        <v>218.08600000000001</v>
      </c>
      <c r="X13" s="230">
        <v>231.44900000000001</v>
      </c>
      <c r="Y13" s="230">
        <v>226.82300000000001</v>
      </c>
      <c r="Z13" s="230">
        <v>227</v>
      </c>
      <c r="AA13" s="230">
        <v>221.0146</v>
      </c>
      <c r="AB13" s="230">
        <v>224.61</v>
      </c>
      <c r="AC13" s="230">
        <v>228.881</v>
      </c>
      <c r="AD13" s="141">
        <v>288.28199999999998</v>
      </c>
      <c r="AE13" s="141">
        <v>284.16899999999998</v>
      </c>
      <c r="AF13" s="141">
        <v>279.392</v>
      </c>
      <c r="AG13" s="141">
        <v>270.37599999999998</v>
      </c>
      <c r="AH13" s="141">
        <v>256.15199999999999</v>
      </c>
      <c r="AI13" s="141">
        <v>188.62100000000001</v>
      </c>
      <c r="AJ13" s="141">
        <v>175.01599999999999</v>
      </c>
      <c r="AK13" s="170">
        <v>150.37100000000001</v>
      </c>
      <c r="AL13" s="169"/>
      <c r="AM13" s="31"/>
      <c r="AN13" s="31"/>
      <c r="AO13" s="31"/>
      <c r="AP13" s="31"/>
      <c r="AQ13" s="31"/>
      <c r="AR13" s="31"/>
      <c r="AS13" s="31"/>
      <c r="AT13" s="31"/>
      <c r="AU13" s="31"/>
      <c r="AV13" s="31"/>
      <c r="AW13" s="31"/>
      <c r="AX13" s="31"/>
      <c r="AY13" s="31"/>
      <c r="AZ13" s="31"/>
      <c r="BA13" s="31"/>
      <c r="BB13" s="31"/>
      <c r="BC13" s="31"/>
      <c r="BD13" s="31"/>
      <c r="BE13" s="31"/>
      <c r="BF13" s="31"/>
      <c r="BG13" s="31"/>
      <c r="BH13" s="31"/>
      <c r="BI13" s="31"/>
      <c r="BJ13" s="31"/>
      <c r="BK13" s="31"/>
      <c r="BL13" s="31"/>
      <c r="BM13" s="31"/>
      <c r="BN13" s="31"/>
      <c r="BO13" s="31"/>
      <c r="BP13" s="31"/>
      <c r="BQ13" s="31"/>
      <c r="BR13" s="31"/>
      <c r="BS13" s="31"/>
      <c r="BT13" s="31"/>
      <c r="BU13" s="31"/>
      <c r="BV13" s="169"/>
    </row>
    <row r="14" spans="1:74">
      <c r="A14" s="279" t="s">
        <v>142</v>
      </c>
      <c r="B14" s="250">
        <v>15.212</v>
      </c>
      <c r="C14" s="230">
        <v>15.525</v>
      </c>
      <c r="D14" s="230">
        <v>25.186</v>
      </c>
      <c r="E14" s="230">
        <v>34.918999999999997</v>
      </c>
      <c r="F14" s="230">
        <v>35.956000000000003</v>
      </c>
      <c r="G14" s="230">
        <v>46.563000000000002</v>
      </c>
      <c r="H14" s="230">
        <v>46.953000000000003</v>
      </c>
      <c r="I14" s="230">
        <v>46.661000000000001</v>
      </c>
      <c r="J14" s="230">
        <v>47.610999999999997</v>
      </c>
      <c r="K14" s="230">
        <v>52.377000000000002</v>
      </c>
      <c r="L14" s="230">
        <v>52.661999999999999</v>
      </c>
      <c r="M14" s="230">
        <f>32.073+20.147</f>
        <v>52.22</v>
      </c>
      <c r="N14" s="230">
        <f>33.17+20.926</f>
        <v>54.096000000000004</v>
      </c>
      <c r="O14" s="230">
        <f>32.822+23.161</f>
        <v>55.983000000000004</v>
      </c>
      <c r="P14" s="230">
        <f>44.387+24.312</f>
        <v>68.698999999999998</v>
      </c>
      <c r="Q14" s="230">
        <f>45.045+24.713</f>
        <v>69.75800000000001</v>
      </c>
      <c r="R14" s="230">
        <f>47.647+25.66</f>
        <v>73.307000000000002</v>
      </c>
      <c r="S14" s="230">
        <f>46.606+27.833</f>
        <v>74.438999999999993</v>
      </c>
      <c r="T14" s="230">
        <f>45.989+27.93</f>
        <v>73.918999999999997</v>
      </c>
      <c r="U14" s="230">
        <f>45.545+26.682</f>
        <v>72.227000000000004</v>
      </c>
      <c r="V14" s="230">
        <f>46.703+26.646</f>
        <v>73.349000000000004</v>
      </c>
      <c r="W14" s="230">
        <v>78.796000000000006</v>
      </c>
      <c r="X14" s="230">
        <v>79.326999999999998</v>
      </c>
      <c r="Y14" s="230">
        <v>81.828000000000003</v>
      </c>
      <c r="Z14" s="230">
        <v>79.691000000000003</v>
      </c>
      <c r="AA14" s="230">
        <v>81.587000000000003</v>
      </c>
      <c r="AB14" s="230">
        <v>96.23</v>
      </c>
      <c r="AC14" s="230">
        <v>93.894000000000005</v>
      </c>
      <c r="AD14" s="141">
        <v>112.89</v>
      </c>
      <c r="AE14" s="141">
        <v>89.091999999999999</v>
      </c>
      <c r="AF14" s="141">
        <v>87.022000000000006</v>
      </c>
      <c r="AG14" s="141">
        <v>84.488</v>
      </c>
      <c r="AH14" s="141">
        <v>81.572000000000003</v>
      </c>
      <c r="AI14" s="141">
        <v>62.295999999999999</v>
      </c>
      <c r="AJ14" s="141">
        <v>30.626000000000001</v>
      </c>
      <c r="AK14" s="170">
        <v>24.224</v>
      </c>
      <c r="AL14" s="169"/>
      <c r="AM14" s="31"/>
      <c r="AN14" s="31"/>
      <c r="AO14" s="31"/>
      <c r="AP14" s="31"/>
      <c r="AQ14" s="31"/>
      <c r="AR14" s="31"/>
      <c r="AS14" s="31"/>
      <c r="AT14" s="31"/>
      <c r="AU14" s="31"/>
      <c r="AV14" s="31"/>
      <c r="AW14" s="31"/>
      <c r="AX14" s="31"/>
      <c r="AY14" s="31"/>
      <c r="AZ14" s="31"/>
      <c r="BA14" s="31"/>
      <c r="BB14" s="31"/>
      <c r="BC14" s="31"/>
      <c r="BD14" s="31"/>
      <c r="BE14" s="31"/>
      <c r="BF14" s="31"/>
      <c r="BG14" s="31"/>
      <c r="BH14" s="31"/>
      <c r="BI14" s="31"/>
      <c r="BJ14" s="31"/>
      <c r="BK14" s="31"/>
      <c r="BL14" s="31"/>
      <c r="BM14" s="31"/>
      <c r="BN14" s="31"/>
      <c r="BO14" s="31"/>
      <c r="BP14" s="31"/>
      <c r="BQ14" s="31"/>
      <c r="BR14" s="31"/>
      <c r="BS14" s="31"/>
      <c r="BT14" s="31"/>
      <c r="BU14" s="31"/>
      <c r="BV14" s="169"/>
    </row>
    <row r="15" spans="1:74">
      <c r="A15" s="279" t="s">
        <v>143</v>
      </c>
      <c r="B15" s="250">
        <v>7.0049999999999999</v>
      </c>
      <c r="C15" s="230">
        <v>13.244999999999999</v>
      </c>
      <c r="D15" s="230">
        <v>13.244999999999999</v>
      </c>
      <c r="E15" s="230">
        <v>15.244999999999999</v>
      </c>
      <c r="F15" s="230">
        <v>17.344999999999999</v>
      </c>
      <c r="G15" s="230">
        <v>19.344999999999999</v>
      </c>
      <c r="H15" s="230">
        <v>22.57</v>
      </c>
      <c r="I15" s="230">
        <v>22.395</v>
      </c>
      <c r="J15" s="230">
        <v>24.027000000000001</v>
      </c>
      <c r="K15" s="230">
        <v>23.9</v>
      </c>
      <c r="L15" s="230">
        <v>23.873999999999999</v>
      </c>
      <c r="M15" s="230">
        <f>25.042</f>
        <v>25.042000000000002</v>
      </c>
      <c r="N15" s="230">
        <f>24.619</f>
        <v>24.619</v>
      </c>
      <c r="O15" s="230">
        <f>24.565</f>
        <v>24.565000000000001</v>
      </c>
      <c r="P15" s="230">
        <v>24.6</v>
      </c>
      <c r="Q15" s="230">
        <v>24.684000000000001</v>
      </c>
      <c r="R15" s="230">
        <v>24.684000000000001</v>
      </c>
      <c r="S15" s="230">
        <v>24.026</v>
      </c>
      <c r="T15" s="230">
        <v>24.024999999999999</v>
      </c>
      <c r="U15" s="230">
        <v>24.274000000000001</v>
      </c>
      <c r="V15" s="230">
        <v>24.286000000000001</v>
      </c>
      <c r="W15" s="230">
        <v>27.922000000000001</v>
      </c>
      <c r="X15" s="230">
        <v>26.338999999999999</v>
      </c>
      <c r="Y15" s="230">
        <v>34.709000000000003</v>
      </c>
      <c r="Z15" s="230">
        <v>34.840000000000003</v>
      </c>
      <c r="AA15" s="230">
        <v>36.606999999999999</v>
      </c>
      <c r="AB15" s="230">
        <v>36.606999999999999</v>
      </c>
      <c r="AC15" s="230">
        <v>56.747</v>
      </c>
      <c r="AD15" s="141">
        <v>77.819999999999993</v>
      </c>
      <c r="AE15" s="141">
        <v>65.192999999999998</v>
      </c>
      <c r="AF15" s="141">
        <v>63.503999999999998</v>
      </c>
      <c r="AG15" s="141">
        <v>73.298000000000002</v>
      </c>
      <c r="AH15" s="141">
        <v>74.578000000000003</v>
      </c>
      <c r="AI15" s="141">
        <v>65.847999999999999</v>
      </c>
      <c r="AJ15" s="141">
        <v>70.887</v>
      </c>
      <c r="AK15" s="170">
        <v>99.69</v>
      </c>
      <c r="AL15" s="169"/>
      <c r="AM15" s="31"/>
      <c r="AN15" s="31"/>
      <c r="AO15" s="31"/>
      <c r="AP15" s="31"/>
      <c r="AQ15" s="31"/>
      <c r="AR15" s="31"/>
      <c r="AS15" s="31"/>
      <c r="AT15" s="31"/>
      <c r="AU15" s="31"/>
      <c r="AV15" s="31"/>
      <c r="AW15" s="31"/>
      <c r="AX15" s="31"/>
      <c r="AY15" s="31"/>
      <c r="AZ15" s="31"/>
      <c r="BA15" s="31"/>
      <c r="BB15" s="31"/>
      <c r="BC15" s="31"/>
      <c r="BD15" s="31"/>
      <c r="BE15" s="31"/>
      <c r="BF15" s="31"/>
      <c r="BG15" s="31"/>
      <c r="BH15" s="31"/>
      <c r="BI15" s="31"/>
      <c r="BJ15" s="31"/>
      <c r="BK15" s="31"/>
      <c r="BL15" s="31"/>
      <c r="BM15" s="31"/>
      <c r="BN15" s="31"/>
      <c r="BO15" s="31"/>
      <c r="BP15" s="31"/>
      <c r="BQ15" s="31"/>
      <c r="BR15" s="31"/>
      <c r="BS15" s="31"/>
      <c r="BT15" s="31"/>
      <c r="BU15" s="31"/>
      <c r="BV15" s="169"/>
    </row>
    <row r="16" spans="1:74">
      <c r="A16" s="279" t="s">
        <v>144</v>
      </c>
      <c r="B16" s="250">
        <v>505.34800000000001</v>
      </c>
      <c r="C16" s="230">
        <v>554.08900000000006</v>
      </c>
      <c r="D16" s="230">
        <v>573.97500000000002</v>
      </c>
      <c r="E16" s="230">
        <v>601.90899999999999</v>
      </c>
      <c r="F16" s="230">
        <v>614.34500000000003</v>
      </c>
      <c r="G16" s="230">
        <v>673.298</v>
      </c>
      <c r="H16" s="230">
        <v>687.05399999999997</v>
      </c>
      <c r="I16" s="230">
        <v>706.39200000000005</v>
      </c>
      <c r="J16" s="230">
        <v>736.91300000000001</v>
      </c>
      <c r="K16" s="230">
        <v>759.30499999999995</v>
      </c>
      <c r="L16" s="230">
        <v>720.43399999999997</v>
      </c>
      <c r="M16" s="230">
        <f>737.868+7.6</f>
        <v>745.46800000000007</v>
      </c>
      <c r="N16" s="230">
        <f>755.659+15.09</f>
        <v>770.74900000000002</v>
      </c>
      <c r="O16" s="230">
        <f>780.448+15.775</f>
        <v>796.22299999999996</v>
      </c>
      <c r="P16" s="230">
        <f>828.576+15.775</f>
        <v>844.351</v>
      </c>
      <c r="Q16" s="230">
        <f>860.322</f>
        <v>860.322</v>
      </c>
      <c r="R16" s="230">
        <f>868.615</f>
        <v>868.61500000000001</v>
      </c>
      <c r="S16" s="230">
        <f>880.694</f>
        <v>880.69399999999996</v>
      </c>
      <c r="T16" s="230">
        <f>884.238</f>
        <v>884.23800000000006</v>
      </c>
      <c r="U16" s="230">
        <v>904.976</v>
      </c>
      <c r="V16" s="230">
        <v>906.98</v>
      </c>
      <c r="W16" s="230">
        <v>892.70799999999997</v>
      </c>
      <c r="X16" s="230">
        <v>916.47799999999995</v>
      </c>
      <c r="Y16" s="230">
        <f>902.148+0.558</f>
        <v>902.70600000000002</v>
      </c>
      <c r="Z16" s="230">
        <v>897.02</v>
      </c>
      <c r="AA16" s="230">
        <v>850.423</v>
      </c>
      <c r="AB16" s="230">
        <v>857.34500000000003</v>
      </c>
      <c r="AC16" s="230">
        <v>830.53099999999995</v>
      </c>
      <c r="AD16" s="141">
        <v>836.54300000000001</v>
      </c>
      <c r="AE16" s="141">
        <v>771.58299999999997</v>
      </c>
      <c r="AF16" s="141">
        <v>784.94799999999998</v>
      </c>
      <c r="AG16" s="141">
        <v>730.46400000000006</v>
      </c>
      <c r="AH16" s="141">
        <v>739.05799999999999</v>
      </c>
      <c r="AI16" s="141">
        <v>706.54499999999996</v>
      </c>
      <c r="AJ16" s="141">
        <v>584.04600000000005</v>
      </c>
      <c r="AK16" s="170">
        <v>249.33</v>
      </c>
      <c r="AL16" s="169"/>
      <c r="AM16" s="31"/>
      <c r="AN16" s="31"/>
      <c r="AO16" s="31"/>
      <c r="AP16" s="31"/>
      <c r="AQ16" s="31"/>
      <c r="AR16" s="31"/>
      <c r="AS16" s="31"/>
      <c r="AT16" s="31"/>
      <c r="AU16" s="31"/>
      <c r="AV16" s="31"/>
      <c r="AW16" s="31"/>
      <c r="AX16" s="31"/>
      <c r="AY16" s="31"/>
      <c r="AZ16" s="31"/>
      <c r="BA16" s="31"/>
      <c r="BB16" s="31"/>
      <c r="BC16" s="31"/>
      <c r="BD16" s="31"/>
      <c r="BE16" s="31"/>
      <c r="BF16" s="31"/>
      <c r="BG16" s="31"/>
      <c r="BH16" s="31"/>
      <c r="BI16" s="31"/>
      <c r="BJ16" s="31"/>
      <c r="BK16" s="31"/>
      <c r="BL16" s="31"/>
      <c r="BM16" s="31"/>
      <c r="BN16" s="31"/>
      <c r="BO16" s="31"/>
      <c r="BP16" s="31"/>
      <c r="BQ16" s="31"/>
      <c r="BR16" s="31"/>
      <c r="BS16" s="31"/>
      <c r="BT16" s="31"/>
      <c r="BU16" s="31"/>
      <c r="BV16" s="169"/>
    </row>
    <row r="17" spans="1:74">
      <c r="A17" s="278" t="s">
        <v>145</v>
      </c>
      <c r="B17" s="250">
        <v>0</v>
      </c>
      <c r="C17" s="230">
        <v>0</v>
      </c>
      <c r="D17" s="230">
        <v>0</v>
      </c>
      <c r="E17" s="230">
        <v>0</v>
      </c>
      <c r="F17" s="230">
        <v>0</v>
      </c>
      <c r="G17" s="230">
        <v>0</v>
      </c>
      <c r="H17" s="230">
        <v>0</v>
      </c>
      <c r="I17" s="230">
        <v>0</v>
      </c>
      <c r="J17" s="230">
        <v>0</v>
      </c>
      <c r="K17" s="230">
        <v>0</v>
      </c>
      <c r="L17" s="230">
        <v>0</v>
      </c>
      <c r="M17" s="230">
        <v>0</v>
      </c>
      <c r="N17" s="230">
        <v>0</v>
      </c>
      <c r="O17" s="230">
        <v>0</v>
      </c>
      <c r="P17" s="230">
        <v>0</v>
      </c>
      <c r="Q17" s="230">
        <v>0</v>
      </c>
      <c r="R17" s="230">
        <v>0</v>
      </c>
      <c r="S17" s="230">
        <v>0</v>
      </c>
      <c r="T17" s="230">
        <v>0</v>
      </c>
      <c r="U17" s="230">
        <v>0</v>
      </c>
      <c r="V17" s="230">
        <v>0</v>
      </c>
      <c r="W17" s="230">
        <v>0</v>
      </c>
      <c r="X17" s="230">
        <v>1.589</v>
      </c>
      <c r="Y17" s="230">
        <v>1.2390000000000001</v>
      </c>
      <c r="Z17" s="230">
        <v>0.67800000000000005</v>
      </c>
      <c r="AA17" s="230">
        <v>77.926000000000002</v>
      </c>
      <c r="AB17" s="230">
        <v>67.087000000000003</v>
      </c>
      <c r="AC17" s="230">
        <v>60.107999999999997</v>
      </c>
      <c r="AD17" s="141">
        <v>56.991999999999997</v>
      </c>
      <c r="AE17" s="141">
        <v>53.588000000000001</v>
      </c>
      <c r="AF17" s="141">
        <v>0.83</v>
      </c>
      <c r="AG17" s="141">
        <v>0.83</v>
      </c>
      <c r="AH17" s="141">
        <v>0.79100000000000004</v>
      </c>
      <c r="AI17" s="141">
        <v>0.34799999999999998</v>
      </c>
      <c r="AJ17" s="141">
        <v>0.34799999999999998</v>
      </c>
      <c r="AK17" s="170">
        <v>0.36499999999999999</v>
      </c>
      <c r="AL17" s="169"/>
      <c r="AM17" s="216"/>
      <c r="AN17" s="216"/>
      <c r="AO17" s="216"/>
      <c r="AP17" s="216"/>
      <c r="AQ17" s="216"/>
      <c r="AR17" s="216"/>
      <c r="AS17" s="31"/>
      <c r="AT17" s="31"/>
      <c r="AU17" s="31"/>
      <c r="AV17" s="31"/>
      <c r="AW17" s="31"/>
      <c r="AX17" s="31"/>
      <c r="AY17" s="31"/>
      <c r="AZ17" s="31"/>
      <c r="BA17" s="31"/>
      <c r="BB17" s="31"/>
      <c r="BC17" s="31"/>
      <c r="BD17" s="31"/>
      <c r="BE17" s="31"/>
      <c r="BF17" s="31"/>
      <c r="BG17" s="31"/>
      <c r="BH17" s="31"/>
      <c r="BI17" s="31"/>
      <c r="BJ17" s="31"/>
      <c r="BK17" s="31"/>
      <c r="BL17" s="31"/>
      <c r="BM17" s="31"/>
      <c r="BN17" s="31"/>
      <c r="BO17" s="31"/>
      <c r="BP17" s="31"/>
      <c r="BQ17" s="31"/>
      <c r="BR17" s="31"/>
      <c r="BS17" s="31"/>
      <c r="BT17" s="31"/>
      <c r="BU17" s="31"/>
      <c r="BV17" s="169"/>
    </row>
    <row r="18" spans="1:74" ht="15.75" thickBot="1">
      <c r="A18" s="138" t="s">
        <v>247</v>
      </c>
      <c r="B18" s="251">
        <v>648.46699999999998</v>
      </c>
      <c r="C18" s="231">
        <v>752.07600000000002</v>
      </c>
      <c r="D18" s="231">
        <v>774.66600000000005</v>
      </c>
      <c r="E18" s="231">
        <v>813.11800000000005</v>
      </c>
      <c r="F18" s="231">
        <v>834.60700000000008</v>
      </c>
      <c r="G18" s="231">
        <v>929.93799999999999</v>
      </c>
      <c r="H18" s="231">
        <v>954.69399999999996</v>
      </c>
      <c r="I18" s="231">
        <v>993.56500000000005</v>
      </c>
      <c r="J18" s="231">
        <v>1057.001</v>
      </c>
      <c r="K18" s="231">
        <v>1097.3040000000001</v>
      </c>
      <c r="L18" s="231">
        <v>1080.8620000000001</v>
      </c>
      <c r="M18" s="231">
        <f>1028.129+76.066</f>
        <v>1104.1949999999999</v>
      </c>
      <c r="N18" s="231">
        <f>1051.485+87.817</f>
        <v>1139.3019999999999</v>
      </c>
      <c r="O18" s="231">
        <f>1087.675+94.066</f>
        <v>1181.741</v>
      </c>
      <c r="P18" s="231">
        <f>1216.088+102.244</f>
        <v>1318.3319999999999</v>
      </c>
      <c r="Q18" s="231">
        <f>1255.994+87.564</f>
        <v>1343.558</v>
      </c>
      <c r="R18" s="231">
        <f>1275.033+88.949</f>
        <v>1363.982</v>
      </c>
      <c r="S18" s="231">
        <f>1282.361+92.152</f>
        <v>1374.5130000000001</v>
      </c>
      <c r="T18" s="231">
        <f>1264.42+93.515</f>
        <v>1357.9350000000002</v>
      </c>
      <c r="U18" s="231">
        <f>1288.674+91.841</f>
        <v>1380.5149999999999</v>
      </c>
      <c r="V18" s="231">
        <f>1292.867+(91.311+1.477)</f>
        <v>1385.655</v>
      </c>
      <c r="W18" s="231">
        <v>1399.566</v>
      </c>
      <c r="X18" s="231">
        <v>1422.2929999999999</v>
      </c>
      <c r="Y18" s="231">
        <f>1418.479+0.558</f>
        <v>1419.037</v>
      </c>
      <c r="Z18" s="231">
        <v>1403.2170000000001</v>
      </c>
      <c r="AA18" s="231">
        <v>1430.3335999999999</v>
      </c>
      <c r="AB18" s="231">
        <v>1440.963</v>
      </c>
      <c r="AC18" s="231">
        <v>1429.643</v>
      </c>
      <c r="AD18" s="142">
        <v>1518.741</v>
      </c>
      <c r="AE18" s="142">
        <v>1397.4469999999999</v>
      </c>
      <c r="AF18" s="142">
        <v>1330.9259999999999</v>
      </c>
      <c r="AG18" s="142">
        <v>1256.1279999999999</v>
      </c>
      <c r="AH18" s="142">
        <v>1242.4590000000001</v>
      </c>
      <c r="AI18" s="142">
        <v>1109.1679999999999</v>
      </c>
      <c r="AJ18" s="142">
        <v>927.29300000000001</v>
      </c>
      <c r="AK18" s="97">
        <v>566.529</v>
      </c>
      <c r="AL18" s="169"/>
      <c r="AM18" s="31">
        <f t="shared" ref="AM18:BJ18" si="2">SUM(B12:B17)-B18</f>
        <v>0</v>
      </c>
      <c r="AN18" s="31">
        <f t="shared" si="2"/>
        <v>0</v>
      </c>
      <c r="AO18" s="31">
        <f t="shared" si="2"/>
        <v>0</v>
      </c>
      <c r="AP18" s="31">
        <f t="shared" si="2"/>
        <v>0</v>
      </c>
      <c r="AQ18" s="31">
        <f t="shared" si="2"/>
        <v>0</v>
      </c>
      <c r="AR18" s="31">
        <f t="shared" si="2"/>
        <v>0</v>
      </c>
      <c r="AS18" s="31">
        <f t="shared" si="2"/>
        <v>0</v>
      </c>
      <c r="AT18" s="31">
        <f t="shared" si="2"/>
        <v>0</v>
      </c>
      <c r="AU18" s="31">
        <f t="shared" si="2"/>
        <v>0</v>
      </c>
      <c r="AV18" s="31">
        <f t="shared" si="2"/>
        <v>0</v>
      </c>
      <c r="AW18" s="31">
        <f t="shared" si="2"/>
        <v>0</v>
      </c>
      <c r="AX18" s="31">
        <f t="shared" si="2"/>
        <v>0</v>
      </c>
      <c r="AY18" s="31">
        <f t="shared" si="2"/>
        <v>0</v>
      </c>
      <c r="AZ18" s="31">
        <f t="shared" si="2"/>
        <v>0</v>
      </c>
      <c r="BA18" s="31">
        <f t="shared" si="2"/>
        <v>0</v>
      </c>
      <c r="BB18" s="31">
        <f t="shared" si="2"/>
        <v>0</v>
      </c>
      <c r="BC18" s="31">
        <f t="shared" si="2"/>
        <v>0</v>
      </c>
      <c r="BD18" s="31">
        <f t="shared" si="2"/>
        <v>0</v>
      </c>
      <c r="BE18" s="31">
        <f t="shared" si="2"/>
        <v>0</v>
      </c>
      <c r="BF18" s="31">
        <f t="shared" si="2"/>
        <v>0</v>
      </c>
      <c r="BG18" s="31">
        <f t="shared" si="2"/>
        <v>0</v>
      </c>
      <c r="BH18" s="31">
        <f t="shared" si="2"/>
        <v>0</v>
      </c>
      <c r="BI18" s="31">
        <f t="shared" si="2"/>
        <v>0</v>
      </c>
      <c r="BJ18" s="31">
        <f t="shared" si="2"/>
        <v>0</v>
      </c>
      <c r="BK18" s="31"/>
      <c r="BL18" s="31">
        <f>SUM(AA12:AA17)-AA18</f>
        <v>0</v>
      </c>
      <c r="BM18" s="31">
        <f>SUM(AB12:AB17)-AB18</f>
        <v>0</v>
      </c>
      <c r="BN18" s="31">
        <f>SUM(AD12:AD17)-AD18</f>
        <v>0</v>
      </c>
      <c r="BO18" s="31">
        <f t="shared" ref="BO18:BU18" si="3">SUM(AE12:AE17)-AE18</f>
        <v>0</v>
      </c>
      <c r="BP18" s="31">
        <f t="shared" si="3"/>
        <v>0</v>
      </c>
      <c r="BQ18" s="31">
        <f t="shared" si="3"/>
        <v>0</v>
      </c>
      <c r="BR18" s="31">
        <f t="shared" si="3"/>
        <v>0</v>
      </c>
      <c r="BS18" s="31">
        <f t="shared" si="3"/>
        <v>0</v>
      </c>
      <c r="BT18" s="31">
        <f t="shared" si="3"/>
        <v>0</v>
      </c>
      <c r="BU18" s="31">
        <f t="shared" si="3"/>
        <v>0</v>
      </c>
      <c r="BV18" s="169"/>
    </row>
    <row r="19" spans="1:74" ht="15.75" thickTop="1">
      <c r="A19" s="138"/>
      <c r="B19" s="263"/>
      <c r="C19" s="263"/>
      <c r="D19" s="263"/>
      <c r="E19" s="263"/>
      <c r="F19" s="263"/>
      <c r="G19" s="263"/>
      <c r="H19" s="263"/>
      <c r="I19" s="263"/>
      <c r="J19" s="263"/>
      <c r="K19" s="263"/>
      <c r="L19" s="263"/>
      <c r="M19" s="263"/>
      <c r="N19" s="263"/>
      <c r="O19" s="263"/>
      <c r="P19" s="263"/>
      <c r="Q19" s="263"/>
      <c r="R19" s="263"/>
      <c r="S19" s="263"/>
      <c r="T19" s="263"/>
      <c r="U19" s="263"/>
      <c r="V19" s="263"/>
      <c r="W19" s="138"/>
      <c r="X19" s="138"/>
      <c r="Y19" s="138"/>
      <c r="Z19" s="138"/>
      <c r="AA19" s="138"/>
      <c r="AB19" s="138"/>
      <c r="AC19" s="138"/>
      <c r="AD19" s="138"/>
      <c r="AE19" s="138"/>
      <c r="AF19" s="138"/>
      <c r="AG19" s="138"/>
      <c r="AH19" s="139"/>
      <c r="AI19" s="139"/>
      <c r="AJ19" s="139"/>
      <c r="AK19" s="91"/>
      <c r="AM19" s="31"/>
      <c r="AN19" s="31"/>
      <c r="AO19" s="31"/>
      <c r="AP19" s="31"/>
      <c r="AQ19" s="31"/>
      <c r="AR19" s="31"/>
      <c r="AS19" s="31"/>
      <c r="AT19" s="31"/>
      <c r="AU19" s="31"/>
      <c r="AV19" s="31"/>
      <c r="AW19" s="31"/>
      <c r="AX19" s="31"/>
      <c r="AY19" s="31"/>
      <c r="AZ19" s="31"/>
      <c r="BA19" s="31"/>
      <c r="BB19" s="31"/>
      <c r="BC19" s="31"/>
      <c r="BD19" s="31"/>
      <c r="BE19" s="31"/>
      <c r="BF19" s="31"/>
      <c r="BG19" s="31"/>
      <c r="BH19" s="31"/>
      <c r="BI19" s="31"/>
      <c r="BJ19" s="31"/>
      <c r="BK19" s="31"/>
      <c r="BL19" s="31"/>
      <c r="BM19" s="31"/>
      <c r="BN19" s="31"/>
      <c r="BO19" s="31"/>
      <c r="BP19" s="31"/>
      <c r="BQ19" s="31"/>
      <c r="BR19" s="31"/>
      <c r="BS19" s="31"/>
      <c r="BT19" s="31"/>
      <c r="BU19" s="31"/>
    </row>
    <row r="20" spans="1:74">
      <c r="A20" s="328"/>
      <c r="B20" s="328"/>
      <c r="C20" s="328"/>
      <c r="D20" s="328"/>
      <c r="E20" s="328"/>
      <c r="F20" s="328"/>
      <c r="G20" s="328"/>
      <c r="H20" s="328"/>
      <c r="I20" s="328"/>
      <c r="J20" s="328"/>
      <c r="K20" s="328"/>
      <c r="L20" s="328"/>
      <c r="M20" s="328"/>
      <c r="N20" s="140"/>
      <c r="O20" s="140"/>
      <c r="P20" s="140"/>
      <c r="Q20" s="140"/>
      <c r="R20" s="140"/>
      <c r="S20" s="140"/>
      <c r="T20" s="140"/>
      <c r="U20" s="140"/>
      <c r="V20" s="140"/>
      <c r="W20" s="140"/>
      <c r="X20" s="140"/>
      <c r="Y20" s="140"/>
      <c r="Z20" s="140"/>
      <c r="AA20" s="140"/>
      <c r="AB20" s="140"/>
      <c r="AC20" s="140"/>
      <c r="AD20" s="140"/>
      <c r="AE20" s="140"/>
      <c r="AF20" s="140"/>
      <c r="AG20" s="140"/>
      <c r="AH20" s="140"/>
      <c r="AI20" s="140"/>
      <c r="AJ20" s="140"/>
      <c r="AK20" s="140"/>
      <c r="AM20" s="31"/>
      <c r="AN20" s="31"/>
      <c r="AO20" s="31"/>
      <c r="AP20" s="31"/>
      <c r="AQ20" s="31"/>
      <c r="AR20" s="31"/>
      <c r="AS20" s="31"/>
      <c r="AT20" s="31"/>
      <c r="AU20" s="31"/>
      <c r="AV20" s="31"/>
      <c r="AW20" s="31"/>
      <c r="AX20" s="31"/>
      <c r="AY20" s="31"/>
      <c r="AZ20" s="31"/>
      <c r="BA20" s="31"/>
      <c r="BB20" s="31"/>
      <c r="BC20" s="31"/>
      <c r="BD20" s="31"/>
      <c r="BE20" s="31"/>
      <c r="BF20" s="31"/>
      <c r="BG20" s="31"/>
      <c r="BH20" s="31"/>
      <c r="BI20" s="31"/>
      <c r="BJ20" s="31"/>
      <c r="BK20" s="31"/>
      <c r="BL20" s="31"/>
      <c r="BM20" s="31"/>
      <c r="BN20" s="31"/>
      <c r="BO20" s="31"/>
      <c r="BP20" s="31"/>
      <c r="BQ20" s="31"/>
      <c r="BR20" s="31"/>
      <c r="BS20" s="31"/>
      <c r="BT20" s="31"/>
      <c r="BU20" s="31"/>
    </row>
    <row r="21" spans="1:74" ht="27.75" customHeight="1">
      <c r="A21" s="330" t="s">
        <v>308</v>
      </c>
      <c r="B21" s="330"/>
      <c r="C21" s="330"/>
      <c r="D21" s="330"/>
      <c r="E21" s="330"/>
      <c r="F21" s="330"/>
      <c r="G21" s="330"/>
      <c r="H21" s="330"/>
      <c r="I21" s="330"/>
      <c r="J21" s="330"/>
      <c r="K21" s="330"/>
      <c r="L21" s="330"/>
      <c r="M21" s="330"/>
      <c r="N21" s="330"/>
      <c r="O21" s="330"/>
      <c r="P21" s="330"/>
      <c r="Q21" s="330"/>
      <c r="R21" s="330"/>
      <c r="S21" s="330"/>
      <c r="T21" s="330"/>
      <c r="U21" s="330"/>
      <c r="V21" s="330"/>
      <c r="W21" s="330"/>
      <c r="X21" s="330"/>
      <c r="Y21" s="330"/>
      <c r="Z21" s="330"/>
      <c r="AA21" s="330"/>
      <c r="AB21" s="330"/>
      <c r="AC21" s="330"/>
      <c r="AD21" s="330"/>
      <c r="AE21" s="330"/>
      <c r="AF21" s="330"/>
      <c r="AG21" s="330"/>
      <c r="AH21" s="330"/>
      <c r="AI21" s="330"/>
      <c r="AJ21" s="330"/>
      <c r="AK21" s="330"/>
    </row>
    <row r="22" spans="1:74" ht="27.75" customHeight="1">
      <c r="A22" s="330" t="s">
        <v>354</v>
      </c>
      <c r="B22" s="330"/>
      <c r="C22" s="330"/>
      <c r="D22" s="330"/>
      <c r="E22" s="330"/>
      <c r="F22" s="330"/>
      <c r="G22" s="330"/>
      <c r="H22" s="330"/>
      <c r="I22" s="330"/>
      <c r="J22" s="330"/>
      <c r="K22" s="330"/>
      <c r="L22" s="330"/>
      <c r="M22" s="330"/>
      <c r="N22" s="330"/>
      <c r="O22" s="330"/>
      <c r="P22" s="330"/>
      <c r="Q22" s="330"/>
      <c r="R22" s="330"/>
      <c r="S22" s="330"/>
      <c r="T22" s="330"/>
      <c r="U22" s="330"/>
      <c r="V22" s="330"/>
      <c r="W22" s="330"/>
      <c r="X22" s="330"/>
      <c r="Y22" s="330"/>
      <c r="Z22" s="330"/>
      <c r="AA22" s="330"/>
      <c r="AB22" s="330"/>
      <c r="AC22" s="330"/>
      <c r="AD22" s="330"/>
      <c r="AE22" s="330"/>
      <c r="AF22" s="330"/>
      <c r="AG22" s="330"/>
      <c r="AH22" s="330"/>
      <c r="AI22" s="330"/>
      <c r="AJ22" s="330"/>
      <c r="AK22" s="330"/>
    </row>
    <row r="23" spans="1:74">
      <c r="A23" s="328"/>
      <c r="B23" s="328"/>
      <c r="C23" s="328"/>
      <c r="D23" s="328"/>
      <c r="E23" s="328"/>
      <c r="F23" s="328"/>
      <c r="G23" s="328"/>
      <c r="H23" s="328"/>
      <c r="I23" s="328"/>
      <c r="J23" s="328"/>
      <c r="K23" s="328"/>
      <c r="L23" s="328"/>
      <c r="M23" s="328"/>
      <c r="N23" s="328"/>
      <c r="O23" s="328"/>
      <c r="P23" s="328"/>
      <c r="Q23" s="328"/>
      <c r="R23" s="328"/>
      <c r="S23" s="328"/>
      <c r="T23" s="328"/>
      <c r="U23" s="328"/>
      <c r="V23" s="328"/>
      <c r="W23" s="328"/>
      <c r="X23" s="328"/>
      <c r="Y23" s="328"/>
      <c r="Z23" s="328"/>
      <c r="AA23" s="328"/>
      <c r="AB23" s="328"/>
      <c r="AC23" s="328"/>
      <c r="AD23" s="328"/>
      <c r="AE23" s="328"/>
      <c r="AF23" s="328"/>
      <c r="AG23" s="328"/>
      <c r="AH23" s="328"/>
    </row>
    <row r="27" spans="1:74">
      <c r="B27" s="173"/>
      <c r="C27" s="173"/>
      <c r="D27" s="173"/>
      <c r="E27" s="173"/>
      <c r="F27" s="173"/>
      <c r="G27" s="173"/>
      <c r="H27" s="173"/>
      <c r="I27" s="173"/>
      <c r="J27" s="173"/>
      <c r="K27" s="173"/>
      <c r="L27" s="173"/>
      <c r="M27" s="173"/>
      <c r="N27" s="173"/>
      <c r="O27" s="173"/>
      <c r="P27" s="173"/>
      <c r="Q27" s="173"/>
      <c r="R27" s="173"/>
      <c r="S27" s="173"/>
      <c r="T27" s="173"/>
      <c r="U27" s="173"/>
      <c r="V27" s="173"/>
      <c r="W27" s="173"/>
      <c r="X27" s="173"/>
      <c r="Y27" s="173"/>
      <c r="Z27" s="173"/>
      <c r="AA27" s="173"/>
      <c r="AB27" s="173"/>
    </row>
    <row r="31" spans="1:74">
      <c r="AK31" s="18" t="s">
        <v>161</v>
      </c>
    </row>
  </sheetData>
  <sheetProtection formatCells="0" formatColumns="0" formatRows="0" insertColumns="0" insertRows="0" insertHyperlinks="0" deleteColumns="0" deleteRows="0" sort="0" autoFilter="0" pivotTables="0"/>
  <mergeCells count="8">
    <mergeCell ref="AM3:BU3"/>
    <mergeCell ref="A23:M23"/>
    <mergeCell ref="N23:U23"/>
    <mergeCell ref="V23:AC23"/>
    <mergeCell ref="AD23:AH23"/>
    <mergeCell ref="A20:M20"/>
    <mergeCell ref="A21:AK21"/>
    <mergeCell ref="A22:AK22"/>
  </mergeCells>
  <conditionalFormatting sqref="AM9:BU20">
    <cfRule type="cellIs" dxfId="0" priority="1" operator="notEqual">
      <formula>0</formula>
    </cfRule>
  </conditionalFormatting>
  <pageMargins left="0.70866141732283472" right="0.70866141732283472" top="0.74803149606299213" bottom="0.74803149606299213" header="0.31496062992125984" footer="0.31496062992125984"/>
  <pageSetup paperSize="9" scale="24" orientation="landscape" r:id="rId1"/>
  <ignoredErrors>
    <ignoredError sqref="AA9 N4:N9 N12:N18 O4:O9" unlockedFormula="1"/>
  </ignoredError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Q33"/>
  <sheetViews>
    <sheetView zoomScaleNormal="100" workbookViewId="0">
      <pane ySplit="2" topLeftCell="A3" activePane="bottomLeft" state="frozen"/>
      <selection pane="bottomLeft" activeCell="B4" sqref="B4"/>
    </sheetView>
  </sheetViews>
  <sheetFormatPr defaultColWidth="9.140625" defaultRowHeight="15"/>
  <cols>
    <col min="1" max="1" width="51.85546875" style="18" bestFit="1" customWidth="1"/>
    <col min="2" max="3" width="9.5703125" style="18" customWidth="1"/>
    <col min="4" max="4" width="11.140625" style="18" customWidth="1"/>
    <col min="5" max="15" width="10.140625" style="18" customWidth="1"/>
    <col min="16" max="16" width="2.85546875" style="18" customWidth="1"/>
    <col min="17" max="17" width="17" style="18" bestFit="1" customWidth="1"/>
    <col min="18" max="18" width="4.5703125" style="18" customWidth="1"/>
    <col min="19" max="16384" width="9.140625" style="18"/>
  </cols>
  <sheetData>
    <row r="1" spans="1:17">
      <c r="A1" s="16" t="s">
        <v>146</v>
      </c>
      <c r="B1" s="16"/>
      <c r="C1" s="16"/>
      <c r="D1" s="16"/>
      <c r="E1" s="16"/>
      <c r="F1" s="16"/>
      <c r="G1" s="16"/>
      <c r="H1" s="16"/>
      <c r="I1" s="16"/>
      <c r="J1" s="16"/>
      <c r="K1" s="16"/>
      <c r="L1" s="16"/>
      <c r="M1" s="16"/>
      <c r="N1" s="16"/>
      <c r="O1" s="16"/>
      <c r="P1" s="16"/>
      <c r="Q1" s="16"/>
    </row>
    <row r="2" spans="1:17" ht="24.75">
      <c r="A2" s="19" t="s">
        <v>33</v>
      </c>
      <c r="B2" s="115" t="s">
        <v>556</v>
      </c>
      <c r="C2" s="115" t="s">
        <v>521</v>
      </c>
      <c r="D2" s="115" t="s">
        <v>520</v>
      </c>
      <c r="E2" s="115" t="s">
        <v>519</v>
      </c>
      <c r="F2" s="115" t="s">
        <v>517</v>
      </c>
      <c r="G2" s="115" t="s">
        <v>516</v>
      </c>
      <c r="H2" s="115" t="s">
        <v>525</v>
      </c>
      <c r="I2" s="115" t="s">
        <v>337</v>
      </c>
      <c r="J2" s="115" t="s">
        <v>329</v>
      </c>
      <c r="K2" s="115" t="s">
        <v>322</v>
      </c>
      <c r="L2" s="115" t="s">
        <v>515</v>
      </c>
      <c r="M2" s="115" t="s">
        <v>514</v>
      </c>
      <c r="N2" s="115" t="s">
        <v>513</v>
      </c>
      <c r="O2" s="115" t="s">
        <v>512</v>
      </c>
      <c r="P2" s="87"/>
      <c r="Q2" s="88" t="s">
        <v>559</v>
      </c>
    </row>
    <row r="3" spans="1:17">
      <c r="A3" s="89" t="s">
        <v>147</v>
      </c>
      <c r="B3" s="76"/>
      <c r="C3" s="76"/>
      <c r="D3" s="76"/>
      <c r="E3" s="76"/>
      <c r="F3" s="76"/>
      <c r="G3" s="76"/>
      <c r="H3" s="76"/>
      <c r="I3" s="76"/>
      <c r="J3" s="76"/>
      <c r="K3" s="76"/>
      <c r="L3" s="76"/>
      <c r="M3" s="76"/>
      <c r="N3" s="76"/>
      <c r="O3" s="76"/>
      <c r="P3" s="76"/>
      <c r="Q3" s="76"/>
    </row>
    <row r="4" spans="1:17">
      <c r="A4" s="90" t="s">
        <v>110</v>
      </c>
      <c r="B4" s="176">
        <v>10578.439</v>
      </c>
      <c r="C4" s="26">
        <v>10543.009</v>
      </c>
      <c r="D4" s="26">
        <v>10403.42</v>
      </c>
      <c r="E4" s="26">
        <v>10402.672</v>
      </c>
      <c r="F4" s="26">
        <v>10261.248</v>
      </c>
      <c r="G4" s="26">
        <v>10453.668</v>
      </c>
      <c r="H4" s="26">
        <v>10809.564</v>
      </c>
      <c r="I4" s="26">
        <v>10416.293</v>
      </c>
      <c r="J4" s="26">
        <v>10547.698</v>
      </c>
      <c r="K4" s="26">
        <v>10504.120999999999</v>
      </c>
      <c r="L4" s="26">
        <v>10297.395</v>
      </c>
      <c r="M4" s="26">
        <v>10208.072</v>
      </c>
      <c r="N4" s="26">
        <v>10199.615</v>
      </c>
      <c r="O4" s="26">
        <v>10108.200000000001</v>
      </c>
      <c r="P4" s="93"/>
      <c r="Q4" s="28">
        <v>3.3605207014430409E-3</v>
      </c>
    </row>
    <row r="5" spans="1:17">
      <c r="A5" s="90" t="s">
        <v>459</v>
      </c>
      <c r="B5" s="176">
        <v>16.431999999999999</v>
      </c>
      <c r="C5" s="26">
        <v>20.638000000000002</v>
      </c>
      <c r="D5" s="26">
        <v>20.618000000000002</v>
      </c>
      <c r="E5" s="26">
        <v>36.094000000000001</v>
      </c>
      <c r="F5" s="26">
        <v>39.116</v>
      </c>
      <c r="G5" s="26">
        <v>40.902000000000001</v>
      </c>
      <c r="H5" s="26">
        <v>24.524000000000001</v>
      </c>
      <c r="I5" s="26">
        <v>24.888999999999999</v>
      </c>
      <c r="J5" s="26">
        <v>32.692</v>
      </c>
      <c r="K5" s="26">
        <v>44.162999999999997</v>
      </c>
      <c r="L5" s="26">
        <v>43.743000000000002</v>
      </c>
      <c r="M5" s="26">
        <v>55.593000000000004</v>
      </c>
      <c r="N5" s="26">
        <v>57.153999999999996</v>
      </c>
      <c r="O5" s="26">
        <v>55.960999999999999</v>
      </c>
      <c r="P5" s="93"/>
      <c r="Q5" s="28">
        <v>-0.203798817714895</v>
      </c>
    </row>
    <row r="6" spans="1:17" ht="15.75" thickBot="1">
      <c r="A6" s="92" t="s">
        <v>108</v>
      </c>
      <c r="B6" s="177">
        <v>10594.870999999999</v>
      </c>
      <c r="C6" s="205">
        <v>10563.647000000001</v>
      </c>
      <c r="D6" s="205">
        <v>10424.038</v>
      </c>
      <c r="E6" s="205">
        <v>10438.766</v>
      </c>
      <c r="F6" s="205">
        <v>10300.364</v>
      </c>
      <c r="G6" s="205">
        <v>10494.57</v>
      </c>
      <c r="H6" s="205">
        <v>10834.088</v>
      </c>
      <c r="I6" s="205">
        <v>10441.182000000001</v>
      </c>
      <c r="J6" s="205">
        <v>10580.39</v>
      </c>
      <c r="K6" s="205">
        <v>10548.284</v>
      </c>
      <c r="L6" s="205">
        <v>10341.138000000001</v>
      </c>
      <c r="M6" s="205">
        <v>10263.665000000001</v>
      </c>
      <c r="N6" s="205">
        <v>10256.769</v>
      </c>
      <c r="O6" s="205">
        <v>10164.161</v>
      </c>
      <c r="P6" s="93"/>
      <c r="Q6" s="257">
        <v>2.9557973680868301E-3</v>
      </c>
    </row>
    <row r="7" spans="1:17" ht="15.75" thickTop="1">
      <c r="A7" s="108"/>
      <c r="B7" s="26"/>
      <c r="C7" s="26"/>
      <c r="D7" s="26"/>
      <c r="E7" s="26"/>
      <c r="F7" s="26"/>
      <c r="G7" s="26"/>
      <c r="H7" s="26"/>
      <c r="I7" s="26"/>
      <c r="J7" s="26"/>
      <c r="K7" s="26"/>
      <c r="L7" s="26"/>
      <c r="M7" s="26"/>
      <c r="N7" s="26"/>
      <c r="O7" s="26"/>
      <c r="P7" s="93"/>
      <c r="Q7" s="93"/>
    </row>
    <row r="8" spans="1:17">
      <c r="A8" s="89" t="s">
        <v>149</v>
      </c>
      <c r="B8" s="236"/>
      <c r="C8" s="236"/>
      <c r="D8" s="236"/>
      <c r="E8" s="236"/>
      <c r="F8" s="236"/>
      <c r="G8" s="236"/>
      <c r="H8" s="236"/>
      <c r="I8" s="236"/>
      <c r="J8" s="236"/>
      <c r="K8" s="236"/>
      <c r="L8" s="236"/>
      <c r="M8" s="236"/>
      <c r="N8" s="236"/>
      <c r="O8" s="236"/>
      <c r="P8" s="80"/>
      <c r="Q8" s="80"/>
    </row>
    <row r="9" spans="1:17">
      <c r="A9" s="94" t="s">
        <v>150</v>
      </c>
      <c r="B9" s="26"/>
      <c r="C9" s="26"/>
      <c r="D9" s="26"/>
      <c r="E9" s="26"/>
      <c r="F9" s="26"/>
      <c r="G9" s="26"/>
      <c r="H9" s="26"/>
      <c r="I9" s="26"/>
      <c r="J9" s="26"/>
      <c r="K9" s="26"/>
      <c r="L9" s="26"/>
      <c r="M9" s="26"/>
      <c r="N9" s="26"/>
      <c r="O9" s="26"/>
      <c r="P9" s="93"/>
      <c r="Q9" s="93"/>
    </row>
    <row r="10" spans="1:17">
      <c r="A10" s="291" t="s">
        <v>312</v>
      </c>
      <c r="B10" s="178">
        <v>2213.7406109999997</v>
      </c>
      <c r="C10" s="30">
        <v>2162.7500560000003</v>
      </c>
      <c r="D10" s="30">
        <v>2185.0840490000001</v>
      </c>
      <c r="E10" s="30">
        <v>2113.7688849999995</v>
      </c>
      <c r="F10" s="30">
        <v>2124.4979069999999</v>
      </c>
      <c r="G10" s="30">
        <v>2070.9511880000005</v>
      </c>
      <c r="H10" s="30">
        <v>2075.4841130000004</v>
      </c>
      <c r="I10" s="30">
        <v>1937.0668539999997</v>
      </c>
      <c r="J10" s="30">
        <v>1937.4134950000002</v>
      </c>
      <c r="K10" s="30">
        <v>1803.3466850000004</v>
      </c>
      <c r="L10" s="30">
        <v>1798</v>
      </c>
      <c r="M10" s="30">
        <v>1564.8858630000004</v>
      </c>
      <c r="N10" s="30">
        <v>1598.45</v>
      </c>
      <c r="O10" s="30">
        <v>1548.0550000000001</v>
      </c>
      <c r="P10" s="75"/>
      <c r="Q10" s="28">
        <v>2.3576721155798411E-2</v>
      </c>
    </row>
    <row r="11" spans="1:17">
      <c r="A11" s="90" t="s">
        <v>151</v>
      </c>
      <c r="B11" s="176">
        <v>220</v>
      </c>
      <c r="C11" s="26">
        <v>220</v>
      </c>
      <c r="D11" s="26">
        <v>220</v>
      </c>
      <c r="E11" s="26">
        <v>220</v>
      </c>
      <c r="F11" s="26">
        <v>220</v>
      </c>
      <c r="G11" s="26">
        <v>220</v>
      </c>
      <c r="H11" s="26">
        <v>220</v>
      </c>
      <c r="I11" s="26">
        <v>220</v>
      </c>
      <c r="J11" s="26">
        <v>220</v>
      </c>
      <c r="K11" s="26">
        <v>220</v>
      </c>
      <c r="L11" s="26">
        <v>220</v>
      </c>
      <c r="M11" s="26">
        <v>228.25</v>
      </c>
      <c r="N11" s="26">
        <v>228.517</v>
      </c>
      <c r="O11" s="26">
        <v>220</v>
      </c>
      <c r="P11" s="93"/>
      <c r="Q11" s="28">
        <v>0</v>
      </c>
    </row>
    <row r="12" spans="1:17">
      <c r="A12" s="90" t="s">
        <v>152</v>
      </c>
      <c r="B12" s="176">
        <v>300.51800000000003</v>
      </c>
      <c r="C12" s="26">
        <v>294.13700000000017</v>
      </c>
      <c r="D12" s="26">
        <v>295.05999999999995</v>
      </c>
      <c r="E12" s="26">
        <v>294.00399999999991</v>
      </c>
      <c r="F12" s="26">
        <v>316.44500000000016</v>
      </c>
      <c r="G12" s="26">
        <v>311.67099999999982</v>
      </c>
      <c r="H12" s="26">
        <v>307.13799999999992</v>
      </c>
      <c r="I12" s="26">
        <v>321.75499999999965</v>
      </c>
      <c r="J12" s="26">
        <v>313.00900000000001</v>
      </c>
      <c r="K12" s="26">
        <v>300</v>
      </c>
      <c r="L12" s="26">
        <v>300</v>
      </c>
      <c r="M12" s="26">
        <v>300</v>
      </c>
      <c r="N12" s="26">
        <v>299.73299999999978</v>
      </c>
      <c r="O12" s="26">
        <v>299.99999999999977</v>
      </c>
      <c r="P12" s="93"/>
      <c r="Q12" s="28">
        <v>2.1693972536606595E-2</v>
      </c>
    </row>
    <row r="13" spans="1:17">
      <c r="A13" s="92" t="s">
        <v>311</v>
      </c>
      <c r="B13" s="178">
        <v>2734.2586109999997</v>
      </c>
      <c r="C13" s="30">
        <v>2676.8870560000005</v>
      </c>
      <c r="D13" s="30">
        <v>2700.144049</v>
      </c>
      <c r="E13" s="30">
        <v>2627.7728849999994</v>
      </c>
      <c r="F13" s="30">
        <v>2660.9429070000001</v>
      </c>
      <c r="G13" s="30">
        <v>2602.6221880000003</v>
      </c>
      <c r="H13" s="30">
        <v>2602.6221130000004</v>
      </c>
      <c r="I13" s="30">
        <v>2478.8218539999993</v>
      </c>
      <c r="J13" s="30">
        <v>2470.4224950000003</v>
      </c>
      <c r="K13" s="30">
        <v>2323.3466850000004</v>
      </c>
      <c r="L13" s="30">
        <v>2318</v>
      </c>
      <c r="M13" s="30">
        <v>2093.1358630000004</v>
      </c>
      <c r="N13" s="30">
        <v>2126.6999999999998</v>
      </c>
      <c r="O13" s="30">
        <v>2068.0549999999998</v>
      </c>
      <c r="P13" s="93"/>
      <c r="Q13" s="28">
        <v>2.1432191123419309E-2</v>
      </c>
    </row>
    <row r="14" spans="1:17">
      <c r="A14" s="108" t="s">
        <v>303</v>
      </c>
      <c r="B14" s="176">
        <v>9321.0249999999996</v>
      </c>
      <c r="C14" s="26">
        <v>9289.8009999999995</v>
      </c>
      <c r="D14" s="26">
        <v>9150.1919999999991</v>
      </c>
      <c r="E14" s="26">
        <v>9199.7479999999996</v>
      </c>
      <c r="F14" s="26">
        <v>9061.3459999999995</v>
      </c>
      <c r="G14" s="26">
        <v>9255.5519999999997</v>
      </c>
      <c r="H14" s="26">
        <v>9172.3970000000008</v>
      </c>
      <c r="I14" s="26">
        <v>9113.3109999999997</v>
      </c>
      <c r="J14" s="26">
        <v>9252.5190000000002</v>
      </c>
      <c r="K14" s="26">
        <v>9220.4130000000005</v>
      </c>
      <c r="L14" s="26">
        <v>9013.2669999999998</v>
      </c>
      <c r="M14" s="26">
        <v>9252.7800000000007</v>
      </c>
      <c r="N14" s="26">
        <v>9245.884</v>
      </c>
      <c r="O14" s="26">
        <v>9153.2759999999998</v>
      </c>
      <c r="P14" s="93"/>
      <c r="Q14" s="28">
        <v>3.361105367057934E-3</v>
      </c>
    </row>
    <row r="15" spans="1:17">
      <c r="A15" s="108" t="s">
        <v>153</v>
      </c>
      <c r="B15" s="176">
        <v>0</v>
      </c>
      <c r="C15" s="26">
        <v>0</v>
      </c>
      <c r="D15" s="26">
        <v>0</v>
      </c>
      <c r="E15" s="26">
        <v>0</v>
      </c>
      <c r="F15" s="26">
        <v>0</v>
      </c>
      <c r="G15" s="26">
        <v>0</v>
      </c>
      <c r="H15" s="26">
        <v>0</v>
      </c>
      <c r="I15" s="26">
        <v>0</v>
      </c>
      <c r="J15" s="26">
        <v>0</v>
      </c>
      <c r="K15" s="26">
        <v>0</v>
      </c>
      <c r="L15" s="26">
        <v>0</v>
      </c>
      <c r="M15" s="26">
        <v>0</v>
      </c>
      <c r="N15" s="26">
        <v>0</v>
      </c>
      <c r="O15" s="26">
        <v>0</v>
      </c>
      <c r="P15" s="93"/>
      <c r="Q15" s="28" t="s">
        <v>378</v>
      </c>
    </row>
    <row r="16" spans="1:17">
      <c r="A16" s="108" t="s">
        <v>154</v>
      </c>
      <c r="B16" s="176">
        <v>1273.846</v>
      </c>
      <c r="C16" s="26">
        <v>1273.846</v>
      </c>
      <c r="D16" s="26">
        <v>1273.846</v>
      </c>
      <c r="E16" s="26">
        <v>1239.018</v>
      </c>
      <c r="F16" s="26">
        <v>1239.018</v>
      </c>
      <c r="G16" s="26">
        <v>1239.018</v>
      </c>
      <c r="H16" s="26">
        <v>1661.691</v>
      </c>
      <c r="I16" s="26">
        <v>1327.8710000000001</v>
      </c>
      <c r="J16" s="26">
        <v>1327.8710000000001</v>
      </c>
      <c r="K16" s="26">
        <v>1327.8710000000001</v>
      </c>
      <c r="L16" s="26">
        <v>1327.8710000000001</v>
      </c>
      <c r="M16" s="26">
        <v>1010.885</v>
      </c>
      <c r="N16" s="26">
        <v>1010.885</v>
      </c>
      <c r="O16" s="26">
        <v>1010.885</v>
      </c>
      <c r="P16" s="93"/>
      <c r="Q16" s="28">
        <v>0</v>
      </c>
    </row>
    <row r="17" spans="1:17">
      <c r="A17" s="94"/>
      <c r="B17" s="93"/>
      <c r="C17" s="93"/>
      <c r="D17" s="93"/>
      <c r="E17" s="93"/>
      <c r="F17" s="93"/>
      <c r="G17" s="93"/>
      <c r="H17" s="93"/>
      <c r="I17" s="93"/>
      <c r="J17" s="93"/>
      <c r="K17" s="93"/>
      <c r="L17" s="93"/>
      <c r="M17" s="93"/>
      <c r="N17" s="93"/>
      <c r="O17" s="93"/>
      <c r="P17" s="93"/>
      <c r="Q17" s="28"/>
    </row>
    <row r="18" spans="1:17">
      <c r="A18" s="94" t="s">
        <v>538</v>
      </c>
      <c r="B18" s="179">
        <v>0.20894456160906982</v>
      </c>
      <c r="C18" s="40">
        <v>0.20473516149221285</v>
      </c>
      <c r="D18" s="40">
        <v>0.20961972834173143</v>
      </c>
      <c r="E18" s="40">
        <v>0.20249221068904191</v>
      </c>
      <c r="F18" s="40">
        <v>0.20625466112025759</v>
      </c>
      <c r="G18" s="40">
        <v>0.19733548891902705</v>
      </c>
      <c r="H18" s="40">
        <v>0.19156980034398646</v>
      </c>
      <c r="I18" s="40">
        <v>0.185521790058608</v>
      </c>
      <c r="J18" s="40">
        <v>0.18311360469588314</v>
      </c>
      <c r="K18" s="40">
        <v>0.17100000000000001</v>
      </c>
      <c r="L18" s="40">
        <v>0.17399999999999999</v>
      </c>
      <c r="M18" s="40">
        <v>0.15246852388252491</v>
      </c>
      <c r="N18" s="40">
        <v>0.156</v>
      </c>
      <c r="O18" s="40">
        <v>0.14099999999999999</v>
      </c>
      <c r="P18" s="93"/>
      <c r="Q18" s="28">
        <v>4.2094001168569706E-3</v>
      </c>
    </row>
    <row r="19" spans="1:17">
      <c r="A19" s="94" t="s">
        <v>539</v>
      </c>
      <c r="B19" s="179">
        <v>0.20582058563457495</v>
      </c>
      <c r="C19" s="40">
        <v>0.25340556674011888</v>
      </c>
      <c r="D19" s="40">
        <v>0.25903052209545591</v>
      </c>
      <c r="E19" s="40">
        <v>0.25173212854458848</v>
      </c>
      <c r="F19" s="40">
        <v>0.2583348638449085</v>
      </c>
      <c r="G19" s="40">
        <v>0.24799701939690907</v>
      </c>
      <c r="H19" s="40">
        <v>0.24022530234528189</v>
      </c>
      <c r="I19" s="40">
        <v>0.23740815482999197</v>
      </c>
      <c r="J19" s="40">
        <v>0.23349066647295513</v>
      </c>
      <c r="K19" s="40">
        <v>0.22</v>
      </c>
      <c r="L19" s="40">
        <v>0.224</v>
      </c>
      <c r="M19" s="40">
        <v>0.20393649330141905</v>
      </c>
      <c r="N19" s="40">
        <v>0.20699999999999999</v>
      </c>
      <c r="O19" s="40">
        <v>0.193</v>
      </c>
      <c r="P19" s="93"/>
      <c r="Q19" s="28">
        <v>-4.7584981105543933E-2</v>
      </c>
    </row>
    <row r="20" spans="1:17">
      <c r="A20" s="94" t="s">
        <v>540</v>
      </c>
      <c r="B20" s="179">
        <v>0.20894456160906982</v>
      </c>
      <c r="C20" s="40">
        <v>0.20661598165233647</v>
      </c>
      <c r="D20" s="40">
        <v>0.20961972834173143</v>
      </c>
      <c r="E20" s="40">
        <v>0.20462977648437744</v>
      </c>
      <c r="F20" s="40">
        <v>0.20625466112025759</v>
      </c>
      <c r="G20" s="40">
        <v>0.1993569458361254</v>
      </c>
      <c r="H20" s="40">
        <v>0.19156980034398646</v>
      </c>
      <c r="I20" s="40">
        <v>0.19078580114064173</v>
      </c>
      <c r="J20" s="40">
        <v>0.18311360469588314</v>
      </c>
      <c r="K20" s="40">
        <v>0.17607490444476467</v>
      </c>
      <c r="L20" s="40">
        <v>0.17399999999999999</v>
      </c>
      <c r="M20" s="40">
        <v>0.15820739801691452</v>
      </c>
      <c r="N20" s="40">
        <v>0.156</v>
      </c>
      <c r="O20" s="40">
        <v>0.1523052383898601</v>
      </c>
      <c r="P20" s="93"/>
      <c r="Q20" s="28">
        <v>2.3285799567333565E-3</v>
      </c>
    </row>
    <row r="21" spans="1:17">
      <c r="A21" s="94" t="s">
        <v>541</v>
      </c>
      <c r="B21" s="179">
        <v>0.25807380682380188</v>
      </c>
      <c r="C21" s="40">
        <v>0.25528638690024247</v>
      </c>
      <c r="D21" s="40">
        <v>0.25903052209545591</v>
      </c>
      <c r="E21" s="40">
        <v>0.25386969433992401</v>
      </c>
      <c r="F21" s="40">
        <v>0.2583348638449085</v>
      </c>
      <c r="G21" s="40">
        <v>0.25001847631400742</v>
      </c>
      <c r="H21" s="40">
        <v>0.24022530234528189</v>
      </c>
      <c r="I21" s="40">
        <v>0.2426721659120257</v>
      </c>
      <c r="J21" s="40">
        <v>0.23349066647295513</v>
      </c>
      <c r="K21" s="40">
        <v>0.22537202161191267</v>
      </c>
      <c r="L21" s="40">
        <v>0.224</v>
      </c>
      <c r="M21" s="40">
        <v>0.20967536743580864</v>
      </c>
      <c r="N21" s="40">
        <v>0.20699999999999999</v>
      </c>
      <c r="O21" s="40">
        <v>0.20346538706850995</v>
      </c>
      <c r="P21" s="93"/>
      <c r="Q21" s="28">
        <v>2.7874199235594088E-3</v>
      </c>
    </row>
    <row r="22" spans="1:17">
      <c r="A22" s="94"/>
      <c r="B22" s="40"/>
      <c r="C22" s="40"/>
      <c r="D22" s="40"/>
      <c r="E22" s="40"/>
      <c r="F22" s="40"/>
      <c r="G22" s="40"/>
      <c r="H22" s="40"/>
      <c r="I22" s="40"/>
      <c r="J22" s="40"/>
      <c r="K22" s="40"/>
      <c r="L22" s="40"/>
      <c r="M22" s="40"/>
      <c r="N22" s="40"/>
      <c r="O22" s="40"/>
      <c r="P22" s="93"/>
      <c r="Q22" s="28"/>
    </row>
    <row r="23" spans="1:17">
      <c r="A23" s="92" t="s">
        <v>304</v>
      </c>
      <c r="B23" s="179">
        <v>0.36366592519559759</v>
      </c>
      <c r="C23" s="40">
        <v>0.36799776418595953</v>
      </c>
      <c r="D23" s="40">
        <v>0.36487998759771167</v>
      </c>
      <c r="E23" s="40">
        <v>0.37472863152711106</v>
      </c>
      <c r="F23" s="40">
        <v>0.38003798179365095</v>
      </c>
      <c r="G23" s="40">
        <v>0.3910019170468142</v>
      </c>
      <c r="H23" s="40">
        <v>0.4090868265551294</v>
      </c>
      <c r="I23" s="40">
        <v>0.40370965713970614</v>
      </c>
      <c r="J23" s="40">
        <v>0.41546847365263717</v>
      </c>
      <c r="K23" s="40">
        <v>0.42293502492895846</v>
      </c>
      <c r="L23" s="40">
        <v>0.38834738420306875</v>
      </c>
      <c r="M23" s="40">
        <v>0.38948866450057762</v>
      </c>
      <c r="N23" s="40">
        <v>0.39899301648640267</v>
      </c>
      <c r="O23" s="40">
        <v>0.40037183236857626</v>
      </c>
      <c r="P23" s="93"/>
      <c r="Q23" s="28">
        <v>-4.3318389903619359E-3</v>
      </c>
    </row>
    <row r="24" spans="1:17">
      <c r="A24" s="92" t="s">
        <v>333</v>
      </c>
      <c r="B24" s="179">
        <v>8.5000000000000006E-2</v>
      </c>
      <c r="C24" s="40">
        <v>8.4000000000000005E-2</v>
      </c>
      <c r="D24" s="40">
        <v>8.5000000000000006E-2</v>
      </c>
      <c r="E24" s="40">
        <v>8.5000000000000006E-2</v>
      </c>
      <c r="F24" s="40">
        <v>8.6999999999999994E-2</v>
      </c>
      <c r="G24" s="40">
        <v>8.5999999999999993E-2</v>
      </c>
      <c r="H24" s="40">
        <v>8.7999999999999995E-2</v>
      </c>
      <c r="I24" s="40">
        <v>8.4000000000000005E-2</v>
      </c>
      <c r="J24" s="40">
        <v>8.5999999999999993E-2</v>
      </c>
      <c r="K24" s="40">
        <v>8.2000000000000003E-2</v>
      </c>
      <c r="L24" s="40">
        <v>7.5999999999999998E-2</v>
      </c>
      <c r="M24" s="40">
        <v>6.9000000000000006E-2</v>
      </c>
      <c r="N24" s="40">
        <v>7.2999999999999995E-2</v>
      </c>
      <c r="O24" s="40">
        <v>7.0000000000000007E-2</v>
      </c>
      <c r="P24" s="93"/>
      <c r="Q24" s="28">
        <v>1.0000000000000009E-3</v>
      </c>
    </row>
    <row r="25" spans="1:17">
      <c r="A25" s="91"/>
      <c r="B25" s="91"/>
      <c r="C25" s="91"/>
      <c r="D25" s="316"/>
      <c r="E25" s="316"/>
      <c r="F25" s="316"/>
      <c r="G25" s="316"/>
      <c r="H25" s="316"/>
      <c r="I25" s="316"/>
      <c r="J25" s="316"/>
      <c r="K25" s="316"/>
      <c r="L25" s="316"/>
      <c r="M25" s="316"/>
      <c r="N25" s="316"/>
      <c r="O25" s="316"/>
      <c r="P25" s="93"/>
      <c r="Q25" s="93"/>
    </row>
    <row r="26" spans="1:17">
      <c r="A26" s="91"/>
      <c r="B26" s="316"/>
      <c r="C26" s="316"/>
      <c r="D26" s="316"/>
      <c r="E26" s="316"/>
      <c r="F26" s="316"/>
      <c r="G26" s="316"/>
      <c r="H26" s="316"/>
      <c r="I26" s="316"/>
      <c r="J26" s="316"/>
      <c r="K26" s="316"/>
      <c r="L26" s="316"/>
      <c r="M26" s="316"/>
      <c r="N26" s="316"/>
      <c r="O26" s="316"/>
      <c r="P26" s="96"/>
      <c r="Q26" s="96"/>
    </row>
    <row r="27" spans="1:17" ht="24.75" customHeight="1">
      <c r="A27" s="323" t="s">
        <v>458</v>
      </c>
      <c r="B27" s="323"/>
      <c r="C27" s="323"/>
      <c r="D27" s="323"/>
      <c r="E27" s="323"/>
      <c r="F27" s="323"/>
      <c r="G27" s="323"/>
      <c r="H27" s="323"/>
      <c r="I27" s="323"/>
      <c r="J27" s="323"/>
      <c r="K27" s="323"/>
      <c r="L27" s="323"/>
      <c r="M27" s="323"/>
      <c r="N27" s="323"/>
      <c r="O27" s="323"/>
      <c r="P27" s="323"/>
      <c r="Q27" s="323"/>
    </row>
    <row r="28" spans="1:17" ht="18.75" customHeight="1">
      <c r="A28" s="323" t="s">
        <v>578</v>
      </c>
      <c r="B28" s="323"/>
      <c r="C28" s="323"/>
      <c r="D28" s="323"/>
      <c r="E28" s="323"/>
      <c r="F28" s="323"/>
      <c r="G28" s="323"/>
      <c r="H28" s="323"/>
      <c r="I28" s="323"/>
      <c r="J28" s="323"/>
      <c r="K28" s="323"/>
      <c r="L28" s="323"/>
      <c r="M28" s="323"/>
      <c r="N28" s="323"/>
      <c r="O28" s="323"/>
      <c r="P28" s="323"/>
      <c r="Q28" s="323"/>
    </row>
    <row r="29" spans="1:17" ht="23.25" customHeight="1">
      <c r="A29" s="323" t="s">
        <v>169</v>
      </c>
      <c r="B29" s="323"/>
      <c r="C29" s="323"/>
      <c r="D29" s="323"/>
      <c r="E29" s="323"/>
      <c r="F29" s="323"/>
      <c r="G29" s="323"/>
      <c r="H29" s="323"/>
      <c r="I29" s="323"/>
      <c r="J29" s="323"/>
      <c r="K29" s="323"/>
      <c r="L29" s="323"/>
      <c r="M29" s="323"/>
      <c r="N29" s="323"/>
      <c r="O29" s="323"/>
      <c r="P29" s="323"/>
      <c r="Q29" s="323"/>
    </row>
    <row r="30" spans="1:17" ht="21.75" customHeight="1">
      <c r="A30" s="323" t="s">
        <v>277</v>
      </c>
      <c r="B30" s="323"/>
      <c r="C30" s="323"/>
      <c r="D30" s="323"/>
      <c r="E30" s="323"/>
      <c r="F30" s="323"/>
      <c r="G30" s="323"/>
      <c r="H30" s="323"/>
      <c r="I30" s="323"/>
      <c r="J30" s="323"/>
      <c r="K30" s="323"/>
      <c r="L30" s="323"/>
      <c r="M30" s="323"/>
      <c r="N30" s="323"/>
      <c r="O30" s="323"/>
      <c r="P30" s="323"/>
      <c r="Q30" s="323"/>
    </row>
    <row r="31" spans="1:17" ht="21.75" customHeight="1">
      <c r="A31" s="323" t="s">
        <v>334</v>
      </c>
      <c r="B31" s="323"/>
      <c r="C31" s="323"/>
      <c r="D31" s="323"/>
      <c r="E31" s="323"/>
      <c r="F31" s="323"/>
      <c r="G31" s="323"/>
      <c r="H31" s="323"/>
      <c r="I31" s="323"/>
      <c r="J31" s="323"/>
      <c r="K31" s="323"/>
      <c r="L31" s="323"/>
      <c r="M31" s="323"/>
      <c r="N31" s="323"/>
      <c r="O31" s="323"/>
      <c r="P31" s="323"/>
      <c r="Q31" s="323"/>
    </row>
    <row r="32" spans="1:17" ht="51.75" customHeight="1">
      <c r="A32" s="323" t="s">
        <v>526</v>
      </c>
      <c r="B32" s="323"/>
      <c r="C32" s="323"/>
      <c r="D32" s="323"/>
      <c r="E32" s="323"/>
      <c r="F32" s="323"/>
      <c r="G32" s="323"/>
      <c r="H32" s="323"/>
      <c r="I32" s="323"/>
      <c r="J32" s="323"/>
      <c r="K32" s="323"/>
      <c r="L32" s="323"/>
      <c r="M32" s="323"/>
      <c r="N32" s="323"/>
      <c r="O32" s="323"/>
      <c r="P32" s="323"/>
      <c r="Q32" s="323"/>
    </row>
    <row r="33" spans="1:17" ht="59.25" customHeight="1">
      <c r="A33" s="323" t="s">
        <v>562</v>
      </c>
      <c r="B33" s="323"/>
      <c r="C33" s="323"/>
      <c r="D33" s="323"/>
      <c r="E33" s="323"/>
      <c r="F33" s="323"/>
      <c r="G33" s="323"/>
      <c r="H33" s="323"/>
      <c r="I33" s="323"/>
      <c r="J33" s="323"/>
      <c r="K33" s="323"/>
      <c r="L33" s="323"/>
      <c r="M33" s="323"/>
      <c r="N33" s="323"/>
      <c r="O33" s="323"/>
      <c r="P33" s="323"/>
      <c r="Q33" s="323"/>
    </row>
  </sheetData>
  <sheetProtection formatCells="0" formatColumns="0" formatRows="0" insertColumns="0" insertRows="0" insertHyperlinks="0" deleteColumns="0" deleteRows="0" sort="0" autoFilter="0" pivotTables="0"/>
  <mergeCells count="7">
    <mergeCell ref="A33:Q33"/>
    <mergeCell ref="A27:Q27"/>
    <mergeCell ref="A28:Q28"/>
    <mergeCell ref="A29:Q29"/>
    <mergeCell ref="A32:Q32"/>
    <mergeCell ref="A30:Q30"/>
    <mergeCell ref="A31:Q31"/>
  </mergeCells>
  <pageMargins left="0.70866141732283472" right="0.70866141732283472" top="0.74803149606299213" bottom="0.74803149606299213" header="0.31496062992125984" footer="0.31496062992125984"/>
  <pageSetup paperSize="9" scale="38"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A2"/>
  <sheetViews>
    <sheetView showGridLines="0" topLeftCell="A2" zoomScaleNormal="100" workbookViewId="0">
      <selection activeCell="A2" sqref="A2"/>
    </sheetView>
  </sheetViews>
  <sheetFormatPr defaultColWidth="9.140625" defaultRowHeight="12"/>
  <cols>
    <col min="1" max="1" width="143.140625" style="171" customWidth="1"/>
    <col min="2" max="16384" width="9.140625" style="171"/>
  </cols>
  <sheetData>
    <row r="1" spans="1:1" ht="15">
      <c r="A1" s="172" t="s">
        <v>32</v>
      </c>
    </row>
    <row r="2" spans="1:1" ht="293.25" customHeight="1">
      <c r="A2" s="268" t="s">
        <v>489</v>
      </c>
    </row>
  </sheetData>
  <pageMargins left="0.70866141732283472" right="0.70866141732283472" top="0.74803149606299213" bottom="0.74803149606299213" header="0.31496062992125984" footer="0.31496062992125984"/>
  <pageSetup paperSize="9" scale="6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69"/>
  <sheetViews>
    <sheetView showGridLines="0" topLeftCell="A23" zoomScaleNormal="100" workbookViewId="0">
      <selection activeCell="A36" sqref="A36"/>
    </sheetView>
  </sheetViews>
  <sheetFormatPr defaultRowHeight="15"/>
  <cols>
    <col min="1" max="1" width="57.140625" customWidth="1"/>
    <col min="3" max="3" width="6.28515625" customWidth="1"/>
    <col min="6" max="6" width="12.5703125" customWidth="1"/>
  </cols>
  <sheetData>
    <row r="1" spans="1:6" ht="18">
      <c r="A1" s="2"/>
      <c r="B1" s="2"/>
      <c r="C1" s="2"/>
      <c r="D1" s="2"/>
      <c r="E1" s="2"/>
      <c r="F1" s="4"/>
    </row>
    <row r="2" spans="1:6" ht="18">
      <c r="A2" s="2"/>
      <c r="B2" s="2"/>
      <c r="C2" s="2"/>
      <c r="D2" s="2"/>
      <c r="E2" s="2"/>
      <c r="F2" s="4"/>
    </row>
    <row r="3" spans="1:6" ht="18">
      <c r="A3" s="3" t="s">
        <v>162</v>
      </c>
      <c r="B3" s="3"/>
      <c r="C3" s="3"/>
      <c r="D3" s="3"/>
      <c r="E3" s="3"/>
      <c r="F3" s="5"/>
    </row>
    <row r="4" spans="1:6" ht="21">
      <c r="A4" s="320" t="s">
        <v>196</v>
      </c>
      <c r="B4" s="320"/>
      <c r="C4" s="320"/>
      <c r="D4" s="320"/>
      <c r="E4" s="320"/>
      <c r="F4" s="5"/>
    </row>
    <row r="5" spans="1:6">
      <c r="A5" s="6"/>
      <c r="B5" s="6"/>
      <c r="C5" s="6"/>
      <c r="D5" s="6"/>
      <c r="E5" s="6"/>
      <c r="F5" s="13"/>
    </row>
    <row r="6" spans="1:6">
      <c r="A6" s="321" t="s">
        <v>478</v>
      </c>
      <c r="B6" s="321"/>
      <c r="C6" s="171"/>
      <c r="D6" s="15"/>
      <c r="E6" s="15" t="s">
        <v>89</v>
      </c>
      <c r="F6" s="13"/>
    </row>
    <row r="7" spans="1:6">
      <c r="A7" s="321" t="s">
        <v>0</v>
      </c>
      <c r="B7" s="321"/>
      <c r="C7" s="7"/>
      <c r="D7" s="15"/>
      <c r="E7" s="15" t="s">
        <v>89</v>
      </c>
      <c r="F7" s="13"/>
    </row>
    <row r="8" spans="1:6">
      <c r="A8" s="171" t="s">
        <v>194</v>
      </c>
      <c r="B8" s="221"/>
      <c r="C8" s="7"/>
      <c r="D8" s="15"/>
      <c r="E8" s="15" t="s">
        <v>89</v>
      </c>
      <c r="F8" s="13"/>
    </row>
    <row r="9" spans="1:6">
      <c r="A9" s="171" t="s">
        <v>195</v>
      </c>
      <c r="B9" s="221"/>
      <c r="C9" s="7"/>
      <c r="D9" s="15"/>
      <c r="E9" s="15" t="s">
        <v>89</v>
      </c>
      <c r="F9" s="13"/>
    </row>
    <row r="10" spans="1:6">
      <c r="A10" s="171" t="s">
        <v>1</v>
      </c>
      <c r="B10" s="8"/>
      <c r="C10" s="7"/>
      <c r="D10" s="15"/>
      <c r="E10" s="15" t="s">
        <v>89</v>
      </c>
      <c r="F10" s="13"/>
    </row>
    <row r="11" spans="1:6">
      <c r="A11" s="171" t="s">
        <v>2</v>
      </c>
      <c r="B11" s="8"/>
      <c r="C11" s="7"/>
      <c r="D11" s="15"/>
      <c r="E11" s="15" t="s">
        <v>89</v>
      </c>
      <c r="F11" s="13"/>
    </row>
    <row r="12" spans="1:6">
      <c r="A12" s="321" t="s">
        <v>479</v>
      </c>
      <c r="B12" s="321"/>
      <c r="C12" s="321"/>
      <c r="D12" s="15"/>
      <c r="E12" s="15" t="s">
        <v>90</v>
      </c>
      <c r="F12" s="13"/>
    </row>
    <row r="13" spans="1:6">
      <c r="A13" s="321" t="s">
        <v>3</v>
      </c>
      <c r="B13" s="321"/>
      <c r="C13" s="7"/>
      <c r="D13" s="15"/>
      <c r="E13" s="15" t="s">
        <v>90</v>
      </c>
      <c r="F13" s="13"/>
    </row>
    <row r="14" spans="1:6">
      <c r="A14" s="321" t="s">
        <v>1</v>
      </c>
      <c r="B14" s="321"/>
      <c r="C14" s="7"/>
      <c r="D14" s="15"/>
      <c r="E14" s="15" t="s">
        <v>90</v>
      </c>
      <c r="F14" s="13"/>
    </row>
    <row r="15" spans="1:6">
      <c r="A15" s="171" t="s">
        <v>4</v>
      </c>
      <c r="B15" s="171"/>
      <c r="C15" s="7"/>
      <c r="D15" s="15"/>
      <c r="E15" s="15" t="s">
        <v>90</v>
      </c>
      <c r="F15" s="13"/>
    </row>
    <row r="16" spans="1:6">
      <c r="A16" s="171" t="s">
        <v>453</v>
      </c>
      <c r="B16" s="171"/>
      <c r="C16" s="1"/>
      <c r="D16" s="15"/>
      <c r="E16" s="15" t="s">
        <v>90</v>
      </c>
      <c r="F16" s="13"/>
    </row>
    <row r="17" spans="1:6">
      <c r="A17" s="171" t="s">
        <v>5</v>
      </c>
      <c r="B17" s="171"/>
      <c r="C17" s="7"/>
      <c r="D17" s="15"/>
      <c r="E17" s="15" t="s">
        <v>90</v>
      </c>
      <c r="F17" s="13"/>
    </row>
    <row r="18" spans="1:6">
      <c r="A18" s="171" t="s">
        <v>481</v>
      </c>
      <c r="B18" s="171"/>
      <c r="C18" s="9"/>
      <c r="D18" s="15"/>
      <c r="E18" s="15" t="s">
        <v>6</v>
      </c>
      <c r="F18" s="13"/>
    </row>
    <row r="19" spans="1:6">
      <c r="A19" s="171" t="s">
        <v>436</v>
      </c>
      <c r="B19" s="219"/>
      <c r="C19" s="9"/>
      <c r="D19" s="15"/>
      <c r="E19" s="15" t="s">
        <v>6</v>
      </c>
      <c r="F19" s="14"/>
    </row>
    <row r="20" spans="1:6">
      <c r="A20" s="171" t="s">
        <v>8</v>
      </c>
      <c r="B20" s="171"/>
      <c r="C20" s="10"/>
      <c r="D20" s="15"/>
      <c r="E20" s="15" t="s">
        <v>6</v>
      </c>
      <c r="F20" s="14"/>
    </row>
    <row r="21" spans="1:6">
      <c r="A21" s="171" t="s">
        <v>9</v>
      </c>
      <c r="B21" s="171"/>
      <c r="C21" s="10"/>
      <c r="D21" s="15"/>
      <c r="E21" s="15" t="s">
        <v>6</v>
      </c>
      <c r="F21" s="14"/>
    </row>
    <row r="22" spans="1:6">
      <c r="A22" s="171" t="s">
        <v>10</v>
      </c>
      <c r="B22" s="171"/>
      <c r="C22" s="10"/>
      <c r="D22" s="15"/>
      <c r="E22" s="15" t="s">
        <v>6</v>
      </c>
      <c r="F22" s="14"/>
    </row>
    <row r="23" spans="1:6">
      <c r="A23" s="171" t="s">
        <v>439</v>
      </c>
      <c r="B23" s="171"/>
      <c r="C23" s="10"/>
      <c r="D23" s="15"/>
      <c r="E23" s="15" t="s">
        <v>6</v>
      </c>
      <c r="F23" s="14"/>
    </row>
    <row r="24" spans="1:6">
      <c r="A24" s="171" t="s">
        <v>363</v>
      </c>
      <c r="B24" s="171"/>
      <c r="C24" s="10"/>
      <c r="D24" s="15"/>
      <c r="E24" s="15" t="s">
        <v>6</v>
      </c>
      <c r="F24" s="14"/>
    </row>
    <row r="25" spans="1:6">
      <c r="A25" s="171" t="s">
        <v>11</v>
      </c>
      <c r="B25" s="171"/>
      <c r="C25" s="10"/>
      <c r="D25" s="15"/>
      <c r="E25" s="15" t="s">
        <v>6</v>
      </c>
      <c r="F25" s="14"/>
    </row>
    <row r="26" spans="1:6">
      <c r="A26" s="171" t="s">
        <v>12</v>
      </c>
      <c r="B26" s="171"/>
      <c r="C26" s="10"/>
      <c r="D26" s="15"/>
      <c r="E26" s="15" t="s">
        <v>6</v>
      </c>
      <c r="F26" s="14"/>
    </row>
    <row r="27" spans="1:6">
      <c r="A27" s="171" t="s">
        <v>13</v>
      </c>
      <c r="B27" s="171"/>
      <c r="C27" s="10"/>
      <c r="D27" s="15"/>
      <c r="E27" s="15" t="s">
        <v>6</v>
      </c>
      <c r="F27" s="14"/>
    </row>
    <row r="28" spans="1:6">
      <c r="A28" s="171" t="s">
        <v>14</v>
      </c>
      <c r="B28" s="220"/>
      <c r="C28" s="10"/>
      <c r="D28" s="15"/>
      <c r="E28" s="15" t="s">
        <v>6</v>
      </c>
      <c r="F28" s="14"/>
    </row>
    <row r="29" spans="1:6">
      <c r="A29" s="171" t="s">
        <v>246</v>
      </c>
      <c r="B29" s="220"/>
      <c r="C29" s="10"/>
      <c r="D29" s="15"/>
      <c r="E29" s="15" t="s">
        <v>6</v>
      </c>
      <c r="F29" s="14"/>
    </row>
    <row r="30" spans="1:6">
      <c r="A30" s="171" t="s">
        <v>482</v>
      </c>
      <c r="B30" s="171"/>
      <c r="C30" s="10"/>
      <c r="D30" s="15"/>
      <c r="E30" s="15" t="s">
        <v>6</v>
      </c>
      <c r="F30" s="14"/>
    </row>
    <row r="31" spans="1:6">
      <c r="A31" s="171" t="s">
        <v>15</v>
      </c>
      <c r="B31" s="171"/>
      <c r="C31" s="10"/>
      <c r="D31" s="15"/>
      <c r="E31" s="15" t="s">
        <v>6</v>
      </c>
      <c r="F31" s="14"/>
    </row>
    <row r="32" spans="1:6">
      <c r="A32" s="321" t="s">
        <v>483</v>
      </c>
      <c r="B32" s="321"/>
      <c r="C32" s="10"/>
      <c r="D32" s="15"/>
      <c r="E32" s="15" t="s">
        <v>16</v>
      </c>
      <c r="F32" s="14"/>
    </row>
    <row r="33" spans="1:6">
      <c r="A33" s="321" t="s">
        <v>17</v>
      </c>
      <c r="B33" s="321"/>
      <c r="C33" s="11"/>
      <c r="D33" s="15"/>
      <c r="E33" s="15" t="s">
        <v>16</v>
      </c>
      <c r="F33" s="14"/>
    </row>
    <row r="34" spans="1:6">
      <c r="A34" s="321" t="s">
        <v>428</v>
      </c>
      <c r="B34" s="321"/>
      <c r="C34" s="11"/>
      <c r="D34" s="15"/>
      <c r="E34" s="15" t="s">
        <v>16</v>
      </c>
      <c r="F34" s="14"/>
    </row>
    <row r="35" spans="1:6">
      <c r="A35" s="321" t="s">
        <v>18</v>
      </c>
      <c r="B35" s="321"/>
      <c r="C35" s="11"/>
      <c r="D35" s="15"/>
      <c r="E35" s="15" t="s">
        <v>16</v>
      </c>
      <c r="F35" s="14"/>
    </row>
    <row r="36" spans="1:6">
      <c r="A36" s="171" t="s">
        <v>551</v>
      </c>
      <c r="B36" s="171"/>
      <c r="C36" s="11"/>
      <c r="D36" s="15"/>
      <c r="E36" s="15" t="s">
        <v>16</v>
      </c>
      <c r="F36" s="14"/>
    </row>
    <row r="37" spans="1:6">
      <c r="A37" s="321" t="s">
        <v>19</v>
      </c>
      <c r="B37" s="321"/>
      <c r="C37" s="7"/>
      <c r="D37" s="15"/>
      <c r="E37" s="15" t="s">
        <v>16</v>
      </c>
      <c r="F37" s="14"/>
    </row>
    <row r="38" spans="1:6">
      <c r="A38" s="321" t="s">
        <v>456</v>
      </c>
      <c r="B38" s="321"/>
      <c r="C38" s="7"/>
      <c r="D38" s="15"/>
      <c r="E38" s="15" t="s">
        <v>16</v>
      </c>
      <c r="F38" s="14"/>
    </row>
    <row r="39" spans="1:6" hidden="1">
      <c r="A39" s="321" t="s">
        <v>20</v>
      </c>
      <c r="B39" s="321"/>
      <c r="C39" s="11"/>
      <c r="D39" s="15"/>
      <c r="E39" s="15" t="s">
        <v>239</v>
      </c>
      <c r="F39" s="14"/>
    </row>
    <row r="40" spans="1:6" hidden="1">
      <c r="A40" s="171" t="s">
        <v>21</v>
      </c>
      <c r="B40" s="171"/>
      <c r="C40" s="12"/>
      <c r="D40" s="15"/>
      <c r="E40" s="15" t="s">
        <v>239</v>
      </c>
      <c r="F40" s="14"/>
    </row>
    <row r="41" spans="1:6" hidden="1">
      <c r="A41" s="171" t="s">
        <v>22</v>
      </c>
      <c r="B41" s="220"/>
      <c r="C41" s="7"/>
      <c r="D41" s="15"/>
      <c r="E41" s="15" t="s">
        <v>239</v>
      </c>
      <c r="F41" s="14"/>
    </row>
    <row r="42" spans="1:6" hidden="1">
      <c r="A42" s="171" t="s">
        <v>23</v>
      </c>
      <c r="B42" s="220"/>
      <c r="C42" s="7"/>
      <c r="D42" s="15"/>
      <c r="E42" s="15" t="s">
        <v>239</v>
      </c>
      <c r="F42" s="14"/>
    </row>
    <row r="43" spans="1:6" hidden="1">
      <c r="A43" s="171" t="s">
        <v>24</v>
      </c>
      <c r="B43" s="220"/>
      <c r="C43" s="7"/>
      <c r="D43" s="15"/>
      <c r="E43" s="15" t="s">
        <v>239</v>
      </c>
      <c r="F43" s="14"/>
    </row>
    <row r="44" spans="1:6" hidden="1">
      <c r="A44" s="171" t="s">
        <v>25</v>
      </c>
      <c r="B44" s="220"/>
      <c r="C44" s="7"/>
      <c r="D44" s="15"/>
      <c r="E44" s="15" t="s">
        <v>239</v>
      </c>
      <c r="F44" s="14"/>
    </row>
    <row r="45" spans="1:6">
      <c r="A45" s="321" t="s">
        <v>484</v>
      </c>
      <c r="B45" s="321"/>
      <c r="C45" s="7"/>
      <c r="D45" s="15"/>
      <c r="E45" s="15" t="s">
        <v>240</v>
      </c>
      <c r="F45" s="14"/>
    </row>
    <row r="46" spans="1:6">
      <c r="A46" s="171" t="s">
        <v>26</v>
      </c>
      <c r="B46" s="171"/>
      <c r="C46" s="11"/>
      <c r="D46" s="15"/>
      <c r="E46" s="15" t="s">
        <v>240</v>
      </c>
      <c r="F46" s="14"/>
    </row>
    <row r="47" spans="1:6">
      <c r="A47" s="171" t="s">
        <v>348</v>
      </c>
      <c r="B47" s="171"/>
      <c r="C47" s="7"/>
      <c r="D47" s="15"/>
      <c r="E47" s="15" t="s">
        <v>240</v>
      </c>
      <c r="F47" s="14"/>
    </row>
    <row r="48" spans="1:6">
      <c r="A48" s="171" t="s">
        <v>349</v>
      </c>
      <c r="B48" s="220"/>
      <c r="C48" s="7"/>
      <c r="D48" s="15"/>
      <c r="E48" s="15" t="s">
        <v>240</v>
      </c>
      <c r="F48" s="14"/>
    </row>
    <row r="49" spans="1:6">
      <c r="A49" s="171" t="s">
        <v>350</v>
      </c>
      <c r="B49" s="220"/>
      <c r="C49" s="7"/>
      <c r="D49" s="15"/>
      <c r="E49" s="15" t="s">
        <v>240</v>
      </c>
      <c r="F49" s="14"/>
    </row>
    <row r="50" spans="1:6">
      <c r="A50" s="171" t="s">
        <v>208</v>
      </c>
      <c r="B50" s="220"/>
      <c r="C50" s="7"/>
      <c r="D50" s="15"/>
      <c r="E50" s="15" t="s">
        <v>240</v>
      </c>
      <c r="F50" s="14"/>
    </row>
    <row r="51" spans="1:6">
      <c r="A51" s="171" t="s">
        <v>216</v>
      </c>
      <c r="B51" s="220"/>
      <c r="C51" s="7"/>
      <c r="D51" s="15"/>
      <c r="E51" s="15" t="s">
        <v>240</v>
      </c>
      <c r="F51" s="14"/>
    </row>
    <row r="52" spans="1:6">
      <c r="A52" s="171" t="s">
        <v>222</v>
      </c>
      <c r="B52" s="220"/>
      <c r="C52" s="7"/>
      <c r="D52" s="15"/>
      <c r="E52" s="15" t="s">
        <v>240</v>
      </c>
      <c r="F52" s="14"/>
    </row>
    <row r="53" spans="1:6">
      <c r="A53" s="321" t="s">
        <v>485</v>
      </c>
      <c r="B53" s="321"/>
      <c r="C53" s="7"/>
      <c r="D53" s="15"/>
      <c r="E53" s="15" t="s">
        <v>241</v>
      </c>
      <c r="F53" s="14"/>
    </row>
    <row r="54" spans="1:6">
      <c r="A54" s="171" t="s">
        <v>486</v>
      </c>
      <c r="B54" s="220"/>
      <c r="C54" s="7"/>
      <c r="D54" s="15"/>
      <c r="E54" s="15" t="s">
        <v>241</v>
      </c>
      <c r="F54" s="14"/>
    </row>
    <row r="55" spans="1:6" hidden="1">
      <c r="A55" s="321" t="s">
        <v>138</v>
      </c>
      <c r="B55" s="321"/>
      <c r="C55" s="7"/>
      <c r="D55" s="15"/>
      <c r="E55" s="15" t="s">
        <v>242</v>
      </c>
      <c r="F55" s="14"/>
    </row>
    <row r="56" spans="1:6" hidden="1">
      <c r="A56" s="171" t="s">
        <v>27</v>
      </c>
      <c r="B56" s="7"/>
      <c r="C56" s="7"/>
      <c r="D56" s="15"/>
      <c r="E56" s="15" t="s">
        <v>242</v>
      </c>
      <c r="F56" s="14"/>
    </row>
    <row r="57" spans="1:6" hidden="1">
      <c r="A57" s="171" t="s">
        <v>28</v>
      </c>
      <c r="B57" s="7"/>
      <c r="C57" s="7"/>
      <c r="D57" s="15"/>
      <c r="E57" s="15" t="s">
        <v>242</v>
      </c>
      <c r="F57" s="14"/>
    </row>
    <row r="58" spans="1:6">
      <c r="A58" s="321" t="s">
        <v>325</v>
      </c>
      <c r="B58" s="321"/>
      <c r="C58" s="7"/>
      <c r="D58" s="15"/>
      <c r="E58" s="15" t="s">
        <v>427</v>
      </c>
      <c r="F58" s="14"/>
    </row>
    <row r="59" spans="1:6">
      <c r="A59" s="171" t="s">
        <v>159</v>
      </c>
      <c r="B59" s="7"/>
      <c r="C59" s="7"/>
      <c r="D59" s="15"/>
      <c r="E59" s="15" t="s">
        <v>427</v>
      </c>
      <c r="F59" s="14"/>
    </row>
    <row r="60" spans="1:6">
      <c r="A60" s="171" t="s">
        <v>28</v>
      </c>
      <c r="B60" s="7"/>
      <c r="C60" s="7"/>
      <c r="D60" s="15"/>
      <c r="E60" s="15" t="s">
        <v>427</v>
      </c>
      <c r="F60" s="14"/>
    </row>
    <row r="61" spans="1:6">
      <c r="A61" s="171" t="s">
        <v>369</v>
      </c>
      <c r="B61" s="7"/>
      <c r="C61" s="7"/>
      <c r="D61" s="15"/>
      <c r="E61" s="15" t="s">
        <v>427</v>
      </c>
      <c r="F61" s="14"/>
    </row>
    <row r="62" spans="1:6">
      <c r="A62" s="321" t="s">
        <v>487</v>
      </c>
      <c r="B62" s="321"/>
      <c r="C62" s="1"/>
      <c r="D62" s="15"/>
      <c r="E62" s="15" t="s">
        <v>243</v>
      </c>
      <c r="F62" s="14"/>
    </row>
    <row r="63" spans="1:6">
      <c r="A63" s="171" t="s">
        <v>29</v>
      </c>
      <c r="B63" s="7"/>
      <c r="C63" s="7"/>
      <c r="D63" s="15"/>
      <c r="E63" s="15" t="s">
        <v>243</v>
      </c>
      <c r="F63" s="14"/>
    </row>
    <row r="64" spans="1:6">
      <c r="A64" s="171" t="s">
        <v>30</v>
      </c>
      <c r="B64" s="7"/>
      <c r="C64" s="7"/>
      <c r="D64" s="6"/>
      <c r="E64" s="15" t="s">
        <v>243</v>
      </c>
      <c r="F64" s="14"/>
    </row>
    <row r="65" spans="1:9">
      <c r="A65" s="171" t="s">
        <v>31</v>
      </c>
      <c r="B65" s="1"/>
      <c r="C65" s="1"/>
      <c r="D65" s="15"/>
      <c r="E65" s="15" t="s">
        <v>32</v>
      </c>
      <c r="F65" s="14"/>
    </row>
    <row r="66" spans="1:9">
      <c r="A66" s="1"/>
      <c r="B66" s="1"/>
      <c r="C66" s="1"/>
      <c r="D66" s="13"/>
      <c r="E66" s="13"/>
      <c r="F66" s="14"/>
    </row>
    <row r="67" spans="1:9">
      <c r="A67" s="6" t="s">
        <v>166</v>
      </c>
      <c r="B67" s="6"/>
      <c r="C67" s="6"/>
      <c r="D67" s="129"/>
      <c r="E67" s="6" t="s">
        <v>167</v>
      </c>
      <c r="F67" s="14"/>
    </row>
    <row r="68" spans="1:9">
      <c r="A68" s="14"/>
      <c r="B68" s="14"/>
      <c r="C68" s="14"/>
      <c r="D68" s="14"/>
      <c r="E68" s="14"/>
      <c r="F68" s="14"/>
    </row>
    <row r="69" spans="1:9" ht="31.5" customHeight="1">
      <c r="A69" s="322" t="s">
        <v>488</v>
      </c>
      <c r="B69" s="322"/>
      <c r="C69" s="322"/>
      <c r="D69" s="322"/>
      <c r="E69" s="322"/>
      <c r="F69" s="322"/>
      <c r="G69" s="322"/>
      <c r="H69" s="322"/>
      <c r="I69" s="322"/>
    </row>
  </sheetData>
  <mergeCells count="19">
    <mergeCell ref="A35:B35"/>
    <mergeCell ref="A45:B45"/>
    <mergeCell ref="A58:B58"/>
    <mergeCell ref="A69:I69"/>
    <mergeCell ref="A7:B7"/>
    <mergeCell ref="A37:B37"/>
    <mergeCell ref="A38:B38"/>
    <mergeCell ref="A39:B39"/>
    <mergeCell ref="A34:B34"/>
    <mergeCell ref="A53:B53"/>
    <mergeCell ref="A55:B55"/>
    <mergeCell ref="A62:B62"/>
    <mergeCell ref="A33:B33"/>
    <mergeCell ref="A4:E4"/>
    <mergeCell ref="A13:B13"/>
    <mergeCell ref="A12:C12"/>
    <mergeCell ref="A6:B6"/>
    <mergeCell ref="A32:B32"/>
    <mergeCell ref="A14:B14"/>
  </mergeCells>
  <pageMargins left="0.70866141732283472" right="0.70866141732283472" top="0.74803149606299213" bottom="0.74803149606299213" header="0.31496062992125984" footer="0.31496062992125984"/>
  <pageSetup paperSize="9" scale="77"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D210"/>
  <sheetViews>
    <sheetView tabSelected="1" zoomScaleNormal="100" workbookViewId="0">
      <pane ySplit="2" topLeftCell="A3" activePane="bottomLeft" state="frozen"/>
      <selection pane="bottomLeft" activeCell="B4" sqref="B4"/>
    </sheetView>
  </sheetViews>
  <sheetFormatPr defaultColWidth="9.140625" defaultRowHeight="15"/>
  <cols>
    <col min="1" max="1" width="49.5703125" style="18" customWidth="1"/>
    <col min="2" max="15" width="9.42578125" style="18" customWidth="1"/>
    <col min="16" max="16" width="4.5703125" style="18" customWidth="1"/>
    <col min="17" max="17" width="9.140625" style="18"/>
    <col min="18" max="18" width="9.85546875" style="18" bestFit="1" customWidth="1"/>
    <col min="19" max="19" width="4.5703125" style="18" customWidth="1"/>
    <col min="20" max="20" width="13.5703125" style="18" customWidth="1"/>
    <col min="21" max="21" width="13.140625" style="18" customWidth="1"/>
    <col min="22" max="22" width="5.140625" style="18" customWidth="1"/>
    <col min="23" max="23" width="9.140625" style="18"/>
    <col min="24" max="24" width="12.42578125" style="18" customWidth="1"/>
    <col min="25" max="16384" width="9.140625" style="18"/>
  </cols>
  <sheetData>
    <row r="1" spans="1:30">
      <c r="A1" s="16" t="s">
        <v>477</v>
      </c>
      <c r="B1" s="16"/>
      <c r="C1" s="16"/>
      <c r="D1" s="16"/>
      <c r="E1" s="16"/>
      <c r="F1" s="16"/>
      <c r="G1" s="16"/>
      <c r="H1" s="16"/>
      <c r="I1" s="16"/>
      <c r="J1" s="16"/>
      <c r="K1" s="16"/>
      <c r="L1" s="16"/>
      <c r="M1" s="16"/>
      <c r="N1" s="16"/>
      <c r="O1" s="16"/>
      <c r="P1" s="17"/>
      <c r="Q1" s="17"/>
      <c r="R1" s="17"/>
      <c r="S1" s="17"/>
      <c r="T1" s="17"/>
      <c r="U1" s="17"/>
      <c r="V1" s="154"/>
    </row>
    <row r="2" spans="1:30" ht="37.5" customHeight="1">
      <c r="A2" s="19" t="s">
        <v>33</v>
      </c>
      <c r="B2" s="20" t="s">
        <v>552</v>
      </c>
      <c r="C2" s="20" t="s">
        <v>500</v>
      </c>
      <c r="D2" s="20" t="s">
        <v>444</v>
      </c>
      <c r="E2" s="20" t="s">
        <v>441</v>
      </c>
      <c r="F2" s="20" t="s">
        <v>424</v>
      </c>
      <c r="G2" s="20" t="s">
        <v>370</v>
      </c>
      <c r="H2" s="20" t="s">
        <v>364</v>
      </c>
      <c r="I2" s="20" t="s">
        <v>335</v>
      </c>
      <c r="J2" s="20" t="s">
        <v>327</v>
      </c>
      <c r="K2" s="20" t="s">
        <v>320</v>
      </c>
      <c r="L2" s="20" t="s">
        <v>313</v>
      </c>
      <c r="M2" s="20" t="s">
        <v>285</v>
      </c>
      <c r="N2" s="20" t="s">
        <v>278</v>
      </c>
      <c r="O2" s="20" t="s">
        <v>273</v>
      </c>
      <c r="P2" s="20"/>
      <c r="Q2" s="20" t="s">
        <v>553</v>
      </c>
      <c r="R2" s="20" t="s">
        <v>425</v>
      </c>
      <c r="S2" s="20"/>
      <c r="T2" s="252" t="s">
        <v>554</v>
      </c>
      <c r="U2" s="252" t="s">
        <v>555</v>
      </c>
      <c r="V2" s="154"/>
    </row>
    <row r="3" spans="1:30">
      <c r="A3" s="21" t="s">
        <v>0</v>
      </c>
      <c r="B3" s="21"/>
      <c r="C3" s="21"/>
      <c r="D3" s="21"/>
      <c r="E3" s="21"/>
      <c r="F3" s="21"/>
      <c r="G3" s="21"/>
      <c r="H3" s="21"/>
      <c r="I3" s="21"/>
      <c r="J3" s="21"/>
      <c r="K3" s="21"/>
      <c r="L3" s="21"/>
      <c r="M3" s="21"/>
      <c r="N3" s="21"/>
      <c r="O3" s="21"/>
      <c r="P3" s="22"/>
      <c r="Q3" s="22"/>
      <c r="R3" s="22"/>
      <c r="S3" s="22"/>
      <c r="T3" s="22"/>
      <c r="U3" s="22"/>
      <c r="V3" s="154"/>
      <c r="AA3" s="189"/>
      <c r="AB3" s="189"/>
      <c r="AC3" s="189"/>
      <c r="AD3" s="189"/>
    </row>
    <row r="4" spans="1:30">
      <c r="A4" s="25" t="s">
        <v>183</v>
      </c>
      <c r="B4" s="176">
        <v>214.54</v>
      </c>
      <c r="C4" s="26">
        <v>204.85900000000001</v>
      </c>
      <c r="D4" s="26">
        <v>208.1</v>
      </c>
      <c r="E4" s="26">
        <v>204.48400000000001</v>
      </c>
      <c r="F4" s="26">
        <v>210.393</v>
      </c>
      <c r="G4" s="26">
        <v>222.50700000000001</v>
      </c>
      <c r="H4" s="26">
        <v>239.28</v>
      </c>
      <c r="I4" s="26">
        <v>250.93799999999999</v>
      </c>
      <c r="J4" s="26">
        <v>253.28299999999999</v>
      </c>
      <c r="K4" s="26">
        <v>266.54300000000001</v>
      </c>
      <c r="L4" s="26">
        <v>271.55599999999998</v>
      </c>
      <c r="M4" s="26">
        <v>257.42500000000001</v>
      </c>
      <c r="N4" s="26">
        <v>228.11799999999999</v>
      </c>
      <c r="O4" s="26">
        <v>186.63200000000001</v>
      </c>
      <c r="P4" s="47"/>
      <c r="Q4" s="238">
        <v>419.399</v>
      </c>
      <c r="R4" s="26">
        <v>432.9</v>
      </c>
      <c r="S4" s="27"/>
      <c r="T4" s="28">
        <v>4.7256893765956015E-2</v>
      </c>
      <c r="U4" s="28">
        <v>-3.1187341187341136E-2</v>
      </c>
      <c r="V4" s="154"/>
      <c r="X4" s="155"/>
      <c r="Y4" s="155"/>
    </row>
    <row r="5" spans="1:30">
      <c r="A5" s="25" t="s">
        <v>184</v>
      </c>
      <c r="B5" s="176">
        <v>-26.635000000000002</v>
      </c>
      <c r="C5" s="26">
        <v>-23.981000000000002</v>
      </c>
      <c r="D5" s="26">
        <v>-25.149000000000001</v>
      </c>
      <c r="E5" s="26">
        <v>-24.378</v>
      </c>
      <c r="F5" s="26">
        <v>-28.677</v>
      </c>
      <c r="G5" s="26">
        <v>-36.768000000000001</v>
      </c>
      <c r="H5" s="26">
        <v>-41.392000000000003</v>
      </c>
      <c r="I5" s="26">
        <v>-47.243000000000002</v>
      </c>
      <c r="J5" s="26">
        <v>-46.651000000000003</v>
      </c>
      <c r="K5" s="26">
        <v>-53.292999999999999</v>
      </c>
      <c r="L5" s="26">
        <v>-51.503</v>
      </c>
      <c r="M5" s="26">
        <v>-43.603999999999999</v>
      </c>
      <c r="N5" s="26">
        <v>-32.027000000000001</v>
      </c>
      <c r="O5" s="26">
        <v>-24.38</v>
      </c>
      <c r="P5" s="47"/>
      <c r="Q5" s="238">
        <v>-50.616</v>
      </c>
      <c r="R5" s="26">
        <v>-65.444999999999993</v>
      </c>
      <c r="S5" s="27"/>
      <c r="T5" s="28">
        <v>0.11067094783370167</v>
      </c>
      <c r="U5" s="28">
        <v>-0.22658721063488418</v>
      </c>
      <c r="V5" s="154"/>
      <c r="X5" s="155"/>
      <c r="Y5" s="155"/>
    </row>
    <row r="6" spans="1:30">
      <c r="A6" s="23" t="s">
        <v>34</v>
      </c>
      <c r="B6" s="176">
        <v>187.905</v>
      </c>
      <c r="C6" s="26">
        <v>180.87800000000001</v>
      </c>
      <c r="D6" s="26">
        <v>182.95099999999999</v>
      </c>
      <c r="E6" s="26">
        <v>180.10599999999999</v>
      </c>
      <c r="F6" s="26">
        <v>181.71600000000001</v>
      </c>
      <c r="G6" s="26">
        <v>185.739</v>
      </c>
      <c r="H6" s="26">
        <v>197.88800000000001</v>
      </c>
      <c r="I6" s="26">
        <v>203.69499999999999</v>
      </c>
      <c r="J6" s="26">
        <v>206.63200000000001</v>
      </c>
      <c r="K6" s="26">
        <v>213.25</v>
      </c>
      <c r="L6" s="26">
        <v>220.053</v>
      </c>
      <c r="M6" s="26">
        <v>213.821</v>
      </c>
      <c r="N6" s="26">
        <v>196.09100000000001</v>
      </c>
      <c r="O6" s="26">
        <v>162.25200000000001</v>
      </c>
      <c r="P6" s="47"/>
      <c r="Q6" s="238">
        <v>368.78300000000002</v>
      </c>
      <c r="R6" s="26">
        <v>367.45500000000004</v>
      </c>
      <c r="S6" s="27"/>
      <c r="T6" s="28">
        <v>3.88493901967071E-2</v>
      </c>
      <c r="U6" s="28">
        <v>3.6140479786639845E-3</v>
      </c>
      <c r="V6" s="154"/>
      <c r="X6" s="155"/>
      <c r="Y6" s="155"/>
    </row>
    <row r="7" spans="1:30">
      <c r="A7" s="25" t="s">
        <v>35</v>
      </c>
      <c r="B7" s="176">
        <v>46.069999999999965</v>
      </c>
      <c r="C7" s="26">
        <v>44.321999999999996</v>
      </c>
      <c r="D7" s="26">
        <v>46.148000000000003</v>
      </c>
      <c r="E7" s="26">
        <v>45.27</v>
      </c>
      <c r="F7" s="26">
        <v>44.246000000000002</v>
      </c>
      <c r="G7" s="26">
        <v>43.936</v>
      </c>
      <c r="H7" s="26">
        <v>46.281999999999996</v>
      </c>
      <c r="I7" s="26">
        <v>44.448</v>
      </c>
      <c r="J7" s="26">
        <v>44.197000000000003</v>
      </c>
      <c r="K7" s="26">
        <v>42.017000000000003</v>
      </c>
      <c r="L7" s="26">
        <v>46.503999999999998</v>
      </c>
      <c r="M7" s="26">
        <v>44.914000000000001</v>
      </c>
      <c r="N7" s="26">
        <v>45.392000000000003</v>
      </c>
      <c r="O7" s="26">
        <v>44.212000000000003</v>
      </c>
      <c r="P7" s="47"/>
      <c r="Q7" s="238">
        <v>90.391999999999967</v>
      </c>
      <c r="R7" s="26">
        <v>88.182000000000002</v>
      </c>
      <c r="S7" s="27"/>
      <c r="T7" s="28">
        <v>3.9438653490365266E-2</v>
      </c>
      <c r="U7" s="28">
        <v>2.5061803996280028E-2</v>
      </c>
      <c r="V7" s="154"/>
      <c r="X7" s="155"/>
      <c r="Y7" s="155"/>
    </row>
    <row r="8" spans="1:30" ht="24.75">
      <c r="A8" s="29" t="s">
        <v>163</v>
      </c>
      <c r="B8" s="176">
        <v>9.4039999999999999</v>
      </c>
      <c r="C8" s="26">
        <v>4.1410000000000009</v>
      </c>
      <c r="D8" s="26">
        <v>17.257000000000001</v>
      </c>
      <c r="E8" s="26">
        <v>8.3420000000000005</v>
      </c>
      <c r="F8" s="26">
        <v>8.6760000000000002</v>
      </c>
      <c r="G8" s="26">
        <v>8.8629999999999995</v>
      </c>
      <c r="H8" s="26">
        <v>8.918000000000001</v>
      </c>
      <c r="I8" s="26">
        <v>14.25</v>
      </c>
      <c r="J8" s="26">
        <v>5.8840000000000003</v>
      </c>
      <c r="K8" s="26">
        <v>7.35</v>
      </c>
      <c r="L8" s="26">
        <v>8.3309999999999995</v>
      </c>
      <c r="M8" s="26">
        <v>7.367</v>
      </c>
      <c r="N8" s="26">
        <v>8.4550000000000001</v>
      </c>
      <c r="O8" s="26">
        <v>13.032</v>
      </c>
      <c r="P8" s="47"/>
      <c r="Q8" s="238">
        <v>13.545000000000002</v>
      </c>
      <c r="R8" s="26">
        <v>17.539000000000001</v>
      </c>
      <c r="S8" s="27"/>
      <c r="T8" s="28">
        <v>1.2709490461241242</v>
      </c>
      <c r="U8" s="28">
        <v>-0.22772107873881062</v>
      </c>
      <c r="V8" s="154"/>
      <c r="X8" s="155"/>
      <c r="Y8" s="155"/>
    </row>
    <row r="9" spans="1:30">
      <c r="A9" s="25" t="s">
        <v>490</v>
      </c>
      <c r="B9" s="176">
        <v>16.338000000000001</v>
      </c>
      <c r="C9" s="26">
        <v>16.734999999999999</v>
      </c>
      <c r="D9" s="26">
        <v>23.425000000000001</v>
      </c>
      <c r="E9" s="26">
        <v>11.863</v>
      </c>
      <c r="F9" s="26">
        <v>12.573</v>
      </c>
      <c r="G9" s="26">
        <v>11.848000000000001</v>
      </c>
      <c r="H9" s="26">
        <v>11.244</v>
      </c>
      <c r="I9" s="26">
        <v>12.172000000000001</v>
      </c>
      <c r="J9" s="26">
        <v>12.86</v>
      </c>
      <c r="K9" s="26">
        <v>9.9149999999999991</v>
      </c>
      <c r="L9" s="26">
        <v>15.723000000000001</v>
      </c>
      <c r="M9" s="26">
        <v>13.204000000000001</v>
      </c>
      <c r="N9" s="26">
        <v>15.007</v>
      </c>
      <c r="O9" s="26">
        <v>9.5540000000000003</v>
      </c>
      <c r="P9" s="47"/>
      <c r="Q9" s="238">
        <v>33.073</v>
      </c>
      <c r="R9" s="26">
        <v>24.420999999999999</v>
      </c>
      <c r="S9" s="27"/>
      <c r="T9" s="28">
        <v>-2.3722736779205167E-2</v>
      </c>
      <c r="U9" s="28">
        <v>0.35428524630441022</v>
      </c>
      <c r="V9" s="154"/>
      <c r="X9" s="155"/>
      <c r="Y9" s="155"/>
    </row>
    <row r="10" spans="1:30" ht="24.75">
      <c r="A10" s="29" t="s">
        <v>164</v>
      </c>
      <c r="B10" s="176">
        <v>3.2359999999999998</v>
      </c>
      <c r="C10" s="26">
        <v>1.845</v>
      </c>
      <c r="D10" s="26">
        <v>1.3050000000000002</v>
      </c>
      <c r="E10" s="26">
        <v>2.105</v>
      </c>
      <c r="F10" s="26">
        <v>4.2590000000000003</v>
      </c>
      <c r="G10" s="26">
        <v>1.599</v>
      </c>
      <c r="H10" s="26">
        <v>-4.54</v>
      </c>
      <c r="I10" s="26">
        <v>2</v>
      </c>
      <c r="J10" s="26">
        <v>0.77100000000000002</v>
      </c>
      <c r="K10" s="26">
        <v>0.55399999999999983</v>
      </c>
      <c r="L10" s="26">
        <v>2.988</v>
      </c>
      <c r="M10" s="26">
        <v>2.3340000000000001</v>
      </c>
      <c r="N10" s="26">
        <v>3.1240000000000001</v>
      </c>
      <c r="O10" s="26">
        <v>1.5699999999999998</v>
      </c>
      <c r="P10" s="47"/>
      <c r="Q10" s="238">
        <v>5.0809999999999995</v>
      </c>
      <c r="R10" s="26">
        <v>5.8580000000000005</v>
      </c>
      <c r="S10" s="27"/>
      <c r="T10" s="28">
        <v>0.75392953929539286</v>
      </c>
      <c r="U10" s="28">
        <v>-0.13263912598156383</v>
      </c>
      <c r="V10" s="154"/>
      <c r="X10" s="155"/>
      <c r="Y10" s="155"/>
    </row>
    <row r="11" spans="1:30">
      <c r="A11" s="25" t="s">
        <v>36</v>
      </c>
      <c r="B11" s="176">
        <v>1.879</v>
      </c>
      <c r="C11" s="26">
        <v>1.9340000000000002</v>
      </c>
      <c r="D11" s="26">
        <v>2.2829999999999999</v>
      </c>
      <c r="E11" s="26">
        <v>10.125</v>
      </c>
      <c r="F11" s="26">
        <v>2.7040000000000002</v>
      </c>
      <c r="G11" s="26">
        <v>2.8380000000000001</v>
      </c>
      <c r="H11" s="26">
        <v>6.8090000000000002</v>
      </c>
      <c r="I11" s="26">
        <v>2.31</v>
      </c>
      <c r="J11" s="26">
        <v>2.282</v>
      </c>
      <c r="K11" s="26">
        <v>2.9369999999999998</v>
      </c>
      <c r="L11" s="26">
        <v>3.1890000000000001</v>
      </c>
      <c r="M11" s="26">
        <v>2.948</v>
      </c>
      <c r="N11" s="26">
        <v>9.2819999999999769</v>
      </c>
      <c r="O11" s="26">
        <v>2.9159999999999906</v>
      </c>
      <c r="P11" s="47"/>
      <c r="Q11" s="238">
        <v>3.8130000000000002</v>
      </c>
      <c r="R11" s="26">
        <v>5.5419999999999998</v>
      </c>
      <c r="S11" s="27"/>
      <c r="T11" s="28">
        <v>-2.8438469493278259E-2</v>
      </c>
      <c r="U11" s="28">
        <v>-0.31198123421147594</v>
      </c>
      <c r="V11" s="154"/>
      <c r="X11" s="155"/>
      <c r="Y11" s="155"/>
    </row>
    <row r="12" spans="1:30">
      <c r="A12" s="23" t="s">
        <v>37</v>
      </c>
      <c r="B12" s="178">
        <v>264.83199999999999</v>
      </c>
      <c r="C12" s="30">
        <v>249.85499999999999</v>
      </c>
      <c r="D12" s="30">
        <v>273.36900000000003</v>
      </c>
      <c r="E12" s="30">
        <v>257.81099999999998</v>
      </c>
      <c r="F12" s="30">
        <v>254.17400000000001</v>
      </c>
      <c r="G12" s="30">
        <v>254.82300000000001</v>
      </c>
      <c r="H12" s="30">
        <v>266.601</v>
      </c>
      <c r="I12" s="30">
        <v>278.875</v>
      </c>
      <c r="J12" s="30">
        <v>272.62599999999998</v>
      </c>
      <c r="K12" s="30">
        <v>276.02300000000002</v>
      </c>
      <c r="L12" s="30">
        <v>296.78800000000001</v>
      </c>
      <c r="M12" s="30">
        <v>284.58800000000002</v>
      </c>
      <c r="N12" s="30">
        <v>277.351</v>
      </c>
      <c r="O12" s="30">
        <v>233.536</v>
      </c>
      <c r="P12" s="47"/>
      <c r="Q12" s="239">
        <v>514.68700000000001</v>
      </c>
      <c r="R12" s="48">
        <v>508.99700000000001</v>
      </c>
      <c r="S12" s="27"/>
      <c r="T12" s="162">
        <v>5.9942766804746771E-2</v>
      </c>
      <c r="U12" s="162">
        <v>1.1178847812462544E-2</v>
      </c>
      <c r="V12" s="154"/>
      <c r="X12" s="155"/>
      <c r="Y12" s="155"/>
    </row>
    <row r="13" spans="1:30">
      <c r="A13" s="25" t="s">
        <v>38</v>
      </c>
      <c r="B13" s="176">
        <v>-56.725000000000001</v>
      </c>
      <c r="C13" s="26">
        <v>-53.014000000000003</v>
      </c>
      <c r="D13" s="26">
        <v>-69.659000000000006</v>
      </c>
      <c r="E13" s="26">
        <v>-50.685000000000002</v>
      </c>
      <c r="F13" s="26">
        <v>-54.829000000000001</v>
      </c>
      <c r="G13" s="26">
        <v>-50.042000000000002</v>
      </c>
      <c r="H13" s="26">
        <v>-51.993000000000002</v>
      </c>
      <c r="I13" s="26">
        <v>-54.935000000000002</v>
      </c>
      <c r="J13" s="26">
        <v>-48.231000000000002</v>
      </c>
      <c r="K13" s="26">
        <v>-47.904000000000003</v>
      </c>
      <c r="L13" s="26">
        <v>-50.805</v>
      </c>
      <c r="M13" s="26">
        <v>-48.417000000000002</v>
      </c>
      <c r="N13" s="26">
        <v>-47.406999999999996</v>
      </c>
      <c r="O13" s="26">
        <v>-45.637999999999998</v>
      </c>
      <c r="P13" s="47"/>
      <c r="Q13" s="238">
        <v>-109.739</v>
      </c>
      <c r="R13" s="26">
        <v>-104.87100000000001</v>
      </c>
      <c r="S13" s="27"/>
      <c r="T13" s="28">
        <v>7.000037725883726E-2</v>
      </c>
      <c r="U13" s="28">
        <v>4.6418933737639521E-2</v>
      </c>
      <c r="V13" s="154"/>
      <c r="X13" s="155"/>
      <c r="Y13" s="155"/>
    </row>
    <row r="14" spans="1:30">
      <c r="A14" s="25" t="s">
        <v>284</v>
      </c>
      <c r="B14" s="176">
        <v>-8.9120000000000008</v>
      </c>
      <c r="C14" s="26">
        <v>-13.89</v>
      </c>
      <c r="D14" s="26">
        <v>-13.456</v>
      </c>
      <c r="E14" s="26">
        <v>-13.404</v>
      </c>
      <c r="F14" s="26">
        <v>-7.8</v>
      </c>
      <c r="G14" s="26">
        <v>-7.7190000000000003</v>
      </c>
      <c r="H14" s="26">
        <v>-12.896000000000001</v>
      </c>
      <c r="I14" s="26">
        <v>-7.4349999999999996</v>
      </c>
      <c r="J14" s="26">
        <v>-7.2069999999999999</v>
      </c>
      <c r="K14" s="26">
        <v>-11.577</v>
      </c>
      <c r="L14" s="26">
        <v>-12.625999999999999</v>
      </c>
      <c r="M14" s="26">
        <v>-11.516999999999999</v>
      </c>
      <c r="N14" s="26">
        <v>-7.149</v>
      </c>
      <c r="O14" s="26">
        <v>-11.087999999999999</v>
      </c>
      <c r="P14" s="47"/>
      <c r="Q14" s="238">
        <v>-22.802</v>
      </c>
      <c r="R14" s="26">
        <v>-15.519</v>
      </c>
      <c r="S14" s="27"/>
      <c r="T14" s="28">
        <v>-0.35838732901367887</v>
      </c>
      <c r="U14" s="28">
        <v>0.46929570204265736</v>
      </c>
      <c r="V14" s="154"/>
      <c r="X14" s="155"/>
      <c r="Y14" s="155"/>
    </row>
    <row r="15" spans="1:30">
      <c r="A15" s="25" t="s">
        <v>39</v>
      </c>
      <c r="B15" s="176">
        <v>-38.305</v>
      </c>
      <c r="C15" s="26">
        <v>-38.250999999999998</v>
      </c>
      <c r="D15" s="26">
        <v>-44.503</v>
      </c>
      <c r="E15" s="26">
        <v>-40.247</v>
      </c>
      <c r="F15" s="26">
        <v>-38.859000000000002</v>
      </c>
      <c r="G15" s="26">
        <v>-37.529000000000003</v>
      </c>
      <c r="H15" s="26">
        <v>-49.268000000000001</v>
      </c>
      <c r="I15" s="26">
        <v>-43.360999999999997</v>
      </c>
      <c r="J15" s="26">
        <v>-38.041000000000004</v>
      </c>
      <c r="K15" s="26">
        <v>-32.947000000000003</v>
      </c>
      <c r="L15" s="26">
        <v>-43.118000000000002</v>
      </c>
      <c r="M15" s="26">
        <v>-37.523000000000003</v>
      </c>
      <c r="N15" s="26">
        <v>-34.263000000000012</v>
      </c>
      <c r="O15" s="26">
        <v>-33.934000000000005</v>
      </c>
      <c r="P15" s="47"/>
      <c r="Q15" s="238">
        <v>-76.555999999999997</v>
      </c>
      <c r="R15" s="26">
        <v>-76.388000000000005</v>
      </c>
      <c r="S15" s="27"/>
      <c r="T15" s="28">
        <v>1.4117277979661198E-3</v>
      </c>
      <c r="U15" s="28">
        <v>2.1992983191076103E-3</v>
      </c>
      <c r="V15" s="154"/>
      <c r="X15" s="155"/>
      <c r="Y15" s="155"/>
    </row>
    <row r="16" spans="1:30">
      <c r="A16" s="23" t="s">
        <v>40</v>
      </c>
      <c r="B16" s="178">
        <v>-103.94199999999999</v>
      </c>
      <c r="C16" s="30">
        <v>-105.155</v>
      </c>
      <c r="D16" s="30">
        <v>-127.61800000000001</v>
      </c>
      <c r="E16" s="30">
        <v>-104.336</v>
      </c>
      <c r="F16" s="30">
        <v>-101.488</v>
      </c>
      <c r="G16" s="30">
        <v>-95.29</v>
      </c>
      <c r="H16" s="30">
        <v>-114.157</v>
      </c>
      <c r="I16" s="30">
        <v>-105.73099999999999</v>
      </c>
      <c r="J16" s="30">
        <v>-93.478999999999999</v>
      </c>
      <c r="K16" s="30">
        <v>-92.427999999999997</v>
      </c>
      <c r="L16" s="30">
        <v>-106.54900000000001</v>
      </c>
      <c r="M16" s="30">
        <v>-97.456999999999994</v>
      </c>
      <c r="N16" s="30">
        <v>-88.819000000000003</v>
      </c>
      <c r="O16" s="30">
        <v>-90.66</v>
      </c>
      <c r="P16" s="47"/>
      <c r="Q16" s="239">
        <v>-209.09699999999998</v>
      </c>
      <c r="R16" s="48">
        <v>-196.77800000000002</v>
      </c>
      <c r="S16" s="27"/>
      <c r="T16" s="162">
        <v>-1.1535352574770653E-2</v>
      </c>
      <c r="U16" s="162">
        <v>6.2603543079002524E-2</v>
      </c>
      <c r="V16" s="154"/>
      <c r="X16" s="155"/>
      <c r="Y16" s="155"/>
    </row>
    <row r="17" spans="1:25" ht="36.75">
      <c r="A17" s="29" t="s">
        <v>41</v>
      </c>
      <c r="B17" s="178">
        <v>160.88999999999999</v>
      </c>
      <c r="C17" s="30">
        <v>144.69999999999999</v>
      </c>
      <c r="D17" s="30">
        <v>145.751</v>
      </c>
      <c r="E17" s="30">
        <v>153.47499999999999</v>
      </c>
      <c r="F17" s="30">
        <v>152.68600000000001</v>
      </c>
      <c r="G17" s="30">
        <v>159.53299999999999</v>
      </c>
      <c r="H17" s="30">
        <v>152.44399999999999</v>
      </c>
      <c r="I17" s="30">
        <v>173.14400000000001</v>
      </c>
      <c r="J17" s="30">
        <v>179.14699999999999</v>
      </c>
      <c r="K17" s="30">
        <v>183.595</v>
      </c>
      <c r="L17" s="30">
        <v>190.239</v>
      </c>
      <c r="M17" s="30">
        <v>187.131</v>
      </c>
      <c r="N17" s="30">
        <v>188.53200000000001</v>
      </c>
      <c r="O17" s="30">
        <v>142.876</v>
      </c>
      <c r="P17" s="49"/>
      <c r="Q17" s="239">
        <v>305.58999999999997</v>
      </c>
      <c r="R17" s="48">
        <v>312.21899999999999</v>
      </c>
      <c r="S17" s="33"/>
      <c r="T17" s="162">
        <v>0.1118866620594333</v>
      </c>
      <c r="U17" s="162">
        <v>-2.1231891717032016E-2</v>
      </c>
      <c r="V17" s="154"/>
      <c r="X17" s="155"/>
      <c r="Y17" s="155"/>
    </row>
    <row r="18" spans="1:25" ht="17.25" customHeight="1">
      <c r="A18" s="29" t="s">
        <v>332</v>
      </c>
      <c r="B18" s="176">
        <v>1.8010000000000237</v>
      </c>
      <c r="C18" s="26">
        <v>4.6470000000000002</v>
      </c>
      <c r="D18" s="26">
        <v>-7.0309999999999997</v>
      </c>
      <c r="E18" s="26">
        <v>-8.8480000000000008</v>
      </c>
      <c r="F18" s="26">
        <v>-8.6</v>
      </c>
      <c r="G18" s="26">
        <v>-10.121</v>
      </c>
      <c r="H18" s="26">
        <v>-8.1929999999999996</v>
      </c>
      <c r="I18" s="26">
        <v>-6.67</v>
      </c>
      <c r="J18" s="26">
        <v>-8.7029999999999994</v>
      </c>
      <c r="K18" s="26">
        <v>-6.8019999999999996</v>
      </c>
      <c r="L18" s="26">
        <v>-18.678999999999998</v>
      </c>
      <c r="M18" s="26">
        <v>-19.670999999999967</v>
      </c>
      <c r="N18" s="26">
        <v>-13.19</v>
      </c>
      <c r="O18" s="26">
        <v>-11.207000000000001</v>
      </c>
      <c r="P18" s="47"/>
      <c r="Q18" s="238">
        <v>6.4480000000000235</v>
      </c>
      <c r="R18" s="26">
        <v>-18.721</v>
      </c>
      <c r="S18" s="27"/>
      <c r="T18" s="28">
        <v>-0.61243813212824971</v>
      </c>
      <c r="U18" s="28">
        <v>-1.3444260456172226</v>
      </c>
      <c r="V18" s="154"/>
      <c r="X18" s="155"/>
      <c r="Y18" s="155"/>
    </row>
    <row r="19" spans="1:25" ht="18" customHeight="1">
      <c r="A19" s="25" t="s">
        <v>42</v>
      </c>
      <c r="B19" s="176">
        <v>-6.5410000000000004</v>
      </c>
      <c r="C19" s="26">
        <v>-6.4720000000000004</v>
      </c>
      <c r="D19" s="26">
        <v>-10.926</v>
      </c>
      <c r="E19" s="26">
        <v>-3.1230000000000002</v>
      </c>
      <c r="F19" s="26">
        <v>-4.327</v>
      </c>
      <c r="G19" s="26">
        <v>-9.9740000000000002</v>
      </c>
      <c r="H19" s="26">
        <v>-16.422999999999998</v>
      </c>
      <c r="I19" s="26">
        <v>-14.414</v>
      </c>
      <c r="J19" s="26">
        <v>-16.427</v>
      </c>
      <c r="K19" s="26">
        <v>-8.6639999999999997</v>
      </c>
      <c r="L19" s="26">
        <v>-15.728</v>
      </c>
      <c r="M19" s="26">
        <v>-7.9729999999999999</v>
      </c>
      <c r="N19" s="26">
        <v>-18.625</v>
      </c>
      <c r="O19" s="26">
        <v>-11.061999999999999</v>
      </c>
      <c r="P19" s="47"/>
      <c r="Q19" s="238">
        <v>-13.013000000000002</v>
      </c>
      <c r="R19" s="26">
        <v>-14.301</v>
      </c>
      <c r="S19" s="27"/>
      <c r="T19" s="28">
        <v>1.0661310259579719E-2</v>
      </c>
      <c r="U19" s="28">
        <v>-9.0063631913852069E-2</v>
      </c>
      <c r="V19" s="154"/>
      <c r="X19" s="155"/>
      <c r="Y19" s="155"/>
    </row>
    <row r="20" spans="1:25" ht="24.75">
      <c r="A20" s="29" t="s">
        <v>440</v>
      </c>
      <c r="B20" s="176">
        <v>-2.512</v>
      </c>
      <c r="C20" s="26">
        <v>2.355</v>
      </c>
      <c r="D20" s="26">
        <v>4.2110000000000003</v>
      </c>
      <c r="E20" s="26">
        <v>-2.4750000000000001</v>
      </c>
      <c r="F20" s="26">
        <v>0.221</v>
      </c>
      <c r="G20" s="26">
        <v>-1.5740000000000001</v>
      </c>
      <c r="H20" s="26">
        <v>-12.731999999999999</v>
      </c>
      <c r="I20" s="26">
        <v>3.5179999999999998</v>
      </c>
      <c r="J20" s="26">
        <v>7.2329999999999997</v>
      </c>
      <c r="K20" s="26">
        <v>-9.7949999999999999</v>
      </c>
      <c r="L20" s="26">
        <v>-7.8689999999999998</v>
      </c>
      <c r="M20" s="26">
        <v>-6.4470000000000001</v>
      </c>
      <c r="N20" s="26">
        <v>-7.8339999999999996</v>
      </c>
      <c r="O20" s="26">
        <v>-6.3150000000000004</v>
      </c>
      <c r="P20" s="47"/>
      <c r="Q20" s="238">
        <v>-0.15700000000000003</v>
      </c>
      <c r="R20" s="26">
        <v>-1.353</v>
      </c>
      <c r="S20" s="27"/>
      <c r="T20" s="28">
        <v>-2.0666666666666669</v>
      </c>
      <c r="U20" s="28">
        <v>-0.88396156688839611</v>
      </c>
      <c r="V20" s="154"/>
      <c r="X20" s="155"/>
      <c r="Y20" s="155"/>
    </row>
    <row r="21" spans="1:25">
      <c r="A21" s="29" t="s">
        <v>43</v>
      </c>
      <c r="B21" s="176">
        <v>0</v>
      </c>
      <c r="C21" s="26">
        <v>0</v>
      </c>
      <c r="D21" s="26">
        <v>0</v>
      </c>
      <c r="E21" s="26">
        <v>0</v>
      </c>
      <c r="F21" s="26">
        <v>0</v>
      </c>
      <c r="G21" s="26">
        <v>0</v>
      </c>
      <c r="H21" s="26">
        <v>0</v>
      </c>
      <c r="I21" s="26">
        <v>0</v>
      </c>
      <c r="J21" s="26">
        <v>0</v>
      </c>
      <c r="K21" s="26">
        <v>0</v>
      </c>
      <c r="L21" s="26">
        <v>0</v>
      </c>
      <c r="M21" s="26">
        <v>0</v>
      </c>
      <c r="N21" s="26">
        <v>0</v>
      </c>
      <c r="O21" s="26">
        <v>0</v>
      </c>
      <c r="P21" s="47"/>
      <c r="Q21" s="238">
        <v>0</v>
      </c>
      <c r="R21" s="26">
        <v>0</v>
      </c>
      <c r="S21" s="27"/>
      <c r="T21" s="28">
        <v>0</v>
      </c>
      <c r="U21" s="28">
        <v>0</v>
      </c>
      <c r="V21" s="154"/>
      <c r="X21" s="155"/>
      <c r="Y21" s="155"/>
    </row>
    <row r="22" spans="1:25" ht="24.75">
      <c r="A22" s="29" t="s">
        <v>44</v>
      </c>
      <c r="B22" s="178">
        <v>153.63800000000001</v>
      </c>
      <c r="C22" s="30">
        <v>145.22999999999999</v>
      </c>
      <c r="D22" s="30">
        <v>132.005</v>
      </c>
      <c r="E22" s="30">
        <v>139.029</v>
      </c>
      <c r="F22" s="30">
        <v>139.97999999999999</v>
      </c>
      <c r="G22" s="30">
        <v>137.864</v>
      </c>
      <c r="H22" s="30">
        <v>115.096</v>
      </c>
      <c r="I22" s="30">
        <v>155.578</v>
      </c>
      <c r="J22" s="30">
        <v>161.25</v>
      </c>
      <c r="K22" s="30">
        <v>158.334</v>
      </c>
      <c r="L22" s="30">
        <v>147.96299999999999</v>
      </c>
      <c r="M22" s="30">
        <v>153.04</v>
      </c>
      <c r="N22" s="30">
        <v>148.88300000000001</v>
      </c>
      <c r="O22" s="30">
        <v>114.29200000000002</v>
      </c>
      <c r="P22" s="49"/>
      <c r="Q22" s="239">
        <v>298.86799999999999</v>
      </c>
      <c r="R22" s="48">
        <v>277.84399999999999</v>
      </c>
      <c r="S22" s="33"/>
      <c r="T22" s="162">
        <v>5.7894374440542698E-2</v>
      </c>
      <c r="U22" s="162">
        <v>7.5668360662817985E-2</v>
      </c>
      <c r="V22" s="154"/>
      <c r="X22" s="155"/>
      <c r="Y22" s="155"/>
    </row>
    <row r="23" spans="1:25">
      <c r="A23" s="25" t="s">
        <v>45</v>
      </c>
      <c r="B23" s="176">
        <v>-22.175000000000022</v>
      </c>
      <c r="C23" s="26">
        <v>-24.355</v>
      </c>
      <c r="D23" s="26">
        <v>-3.89</v>
      </c>
      <c r="E23" s="26">
        <v>-19.803000000000001</v>
      </c>
      <c r="F23" s="26">
        <v>-21.9</v>
      </c>
      <c r="G23" s="26">
        <v>-20.169</v>
      </c>
      <c r="H23" s="26">
        <v>-8.15</v>
      </c>
      <c r="I23" s="26">
        <v>-24.777000000000001</v>
      </c>
      <c r="J23" s="26">
        <v>-23.271999999999998</v>
      </c>
      <c r="K23" s="26">
        <v>-24.93</v>
      </c>
      <c r="L23" s="26">
        <v>-10.069000000000001</v>
      </c>
      <c r="M23" s="26">
        <v>-23.143000000000001</v>
      </c>
      <c r="N23" s="26">
        <v>-21.983000000000001</v>
      </c>
      <c r="O23" s="26">
        <v>-17.785</v>
      </c>
      <c r="P23" s="47"/>
      <c r="Q23" s="238">
        <v>-46.530000000000022</v>
      </c>
      <c r="R23" s="26">
        <v>-42.069000000000003</v>
      </c>
      <c r="S23" s="27"/>
      <c r="T23" s="28">
        <v>-8.9509340997740855E-2</v>
      </c>
      <c r="U23" s="28">
        <v>0.10604007701633078</v>
      </c>
      <c r="V23" s="154"/>
      <c r="X23" s="155"/>
      <c r="Y23" s="155"/>
    </row>
    <row r="24" spans="1:25">
      <c r="A24" s="25" t="s">
        <v>46</v>
      </c>
      <c r="B24" s="176">
        <v>-0.47499999999999998</v>
      </c>
      <c r="C24" s="26">
        <v>-7.9000000000000001E-2</v>
      </c>
      <c r="D24" s="26">
        <v>-0.56999999999999995</v>
      </c>
      <c r="E24" s="26">
        <v>-0.84899999999999998</v>
      </c>
      <c r="F24" s="26">
        <v>-0.40699999999999997</v>
      </c>
      <c r="G24" s="26">
        <v>-0.73</v>
      </c>
      <c r="H24" s="26">
        <v>0.61699999999999999</v>
      </c>
      <c r="I24" s="26">
        <v>-0.54200000000000004</v>
      </c>
      <c r="J24" s="26">
        <v>-0.45200000000000001</v>
      </c>
      <c r="K24" s="26">
        <v>-0.57799999999999996</v>
      </c>
      <c r="L24" s="26">
        <v>-4.8000000000000001E-2</v>
      </c>
      <c r="M24" s="26">
        <v>-0.78400000000000003</v>
      </c>
      <c r="N24" s="26">
        <v>-0.35199999999999998</v>
      </c>
      <c r="O24" s="26">
        <v>-0.55200000000000005</v>
      </c>
      <c r="P24" s="47"/>
      <c r="Q24" s="238">
        <v>-0.55399999999999994</v>
      </c>
      <c r="R24" s="26">
        <v>-1.137</v>
      </c>
      <c r="S24" s="27"/>
      <c r="T24" s="28">
        <v>5.0126582278481004</v>
      </c>
      <c r="U24" s="28">
        <v>-0.51275285839929641</v>
      </c>
      <c r="V24" s="154"/>
      <c r="X24" s="155"/>
      <c r="Y24" s="155"/>
    </row>
    <row r="25" spans="1:25" ht="36.75">
      <c r="A25" s="32" t="s">
        <v>47</v>
      </c>
      <c r="B25" s="178">
        <v>130.988</v>
      </c>
      <c r="C25" s="30">
        <v>120.79599999999999</v>
      </c>
      <c r="D25" s="30">
        <v>127.545</v>
      </c>
      <c r="E25" s="30">
        <v>118.377</v>
      </c>
      <c r="F25" s="30">
        <v>117.673</v>
      </c>
      <c r="G25" s="30">
        <v>116.965</v>
      </c>
      <c r="H25" s="30">
        <v>107.563</v>
      </c>
      <c r="I25" s="30">
        <v>130.25899999999999</v>
      </c>
      <c r="J25" s="30">
        <v>137.52600000000001</v>
      </c>
      <c r="K25" s="30">
        <v>132.82599999999999</v>
      </c>
      <c r="L25" s="30">
        <v>137.846</v>
      </c>
      <c r="M25" s="30">
        <v>129.113</v>
      </c>
      <c r="N25" s="30">
        <v>126.548</v>
      </c>
      <c r="O25" s="30">
        <v>95.954999999999998</v>
      </c>
      <c r="P25" s="47"/>
      <c r="Q25" s="239">
        <v>251.78399999999999</v>
      </c>
      <c r="R25" s="48">
        <v>234.63800000000001</v>
      </c>
      <c r="S25" s="27"/>
      <c r="T25" s="162">
        <v>8.4373654756780089E-2</v>
      </c>
      <c r="U25" s="162">
        <v>7.3074267595189132E-2</v>
      </c>
      <c r="V25" s="154"/>
      <c r="X25" s="155"/>
      <c r="Y25" s="155"/>
    </row>
    <row r="26" spans="1:25">
      <c r="A26" s="29" t="s">
        <v>491</v>
      </c>
      <c r="B26" s="176">
        <v>0</v>
      </c>
      <c r="C26" s="26">
        <v>0</v>
      </c>
      <c r="D26" s="26">
        <v>0</v>
      </c>
      <c r="E26" s="26">
        <v>0</v>
      </c>
      <c r="F26" s="26">
        <v>0</v>
      </c>
      <c r="G26" s="26">
        <v>0</v>
      </c>
      <c r="H26" s="26">
        <v>0</v>
      </c>
      <c r="I26" s="26">
        <v>0</v>
      </c>
      <c r="J26" s="26">
        <v>0</v>
      </c>
      <c r="K26" s="26">
        <v>0</v>
      </c>
      <c r="L26" s="26">
        <v>0</v>
      </c>
      <c r="M26" s="26">
        <v>5.0000000000000001E-3</v>
      </c>
      <c r="N26" s="26">
        <v>-1.1839999999999953</v>
      </c>
      <c r="O26" s="26">
        <v>-1.071</v>
      </c>
      <c r="P26" s="49"/>
      <c r="Q26" s="238">
        <v>0</v>
      </c>
      <c r="R26" s="26">
        <v>0</v>
      </c>
      <c r="S26" s="33"/>
      <c r="T26" s="28">
        <v>0</v>
      </c>
      <c r="U26" s="28">
        <v>0</v>
      </c>
      <c r="V26" s="154"/>
      <c r="X26" s="155"/>
      <c r="Y26" s="155"/>
    </row>
    <row r="27" spans="1:25">
      <c r="A27" s="34" t="s">
        <v>187</v>
      </c>
      <c r="B27" s="178">
        <v>130.988</v>
      </c>
      <c r="C27" s="30">
        <v>120.79599999999999</v>
      </c>
      <c r="D27" s="30">
        <v>127.545</v>
      </c>
      <c r="E27" s="30">
        <v>118.377</v>
      </c>
      <c r="F27" s="30">
        <v>117.673</v>
      </c>
      <c r="G27" s="30">
        <v>116.965</v>
      </c>
      <c r="H27" s="30">
        <v>107.563</v>
      </c>
      <c r="I27" s="30">
        <v>130.25899999999999</v>
      </c>
      <c r="J27" s="30">
        <v>137.52600000000001</v>
      </c>
      <c r="K27" s="30">
        <v>132.82599999999999</v>
      </c>
      <c r="L27" s="30">
        <v>137.846</v>
      </c>
      <c r="M27" s="30">
        <v>129.11799999999999</v>
      </c>
      <c r="N27" s="30">
        <v>125.364</v>
      </c>
      <c r="O27" s="30">
        <v>94.884</v>
      </c>
      <c r="P27" s="49"/>
      <c r="Q27" s="239">
        <v>251.78399999999999</v>
      </c>
      <c r="R27" s="48">
        <v>234.63800000000001</v>
      </c>
      <c r="S27" s="33"/>
      <c r="T27" s="162">
        <v>8.4373654756780089E-2</v>
      </c>
      <c r="U27" s="162">
        <v>7.3074267595189132E-2</v>
      </c>
      <c r="V27" s="154"/>
      <c r="X27" s="155"/>
      <c r="Y27" s="155"/>
    </row>
    <row r="28" spans="1:25">
      <c r="A28" s="34" t="s">
        <v>542</v>
      </c>
      <c r="B28" s="178">
        <v>117.92607597088747</v>
      </c>
      <c r="C28" s="30">
        <v>120.79557007160741</v>
      </c>
      <c r="D28" s="30">
        <v>93.599000000000004</v>
      </c>
      <c r="E28" s="30">
        <v>118.373</v>
      </c>
      <c r="F28" s="30">
        <v>104.61</v>
      </c>
      <c r="G28" s="30">
        <v>116.96599999999999</v>
      </c>
      <c r="H28" s="30">
        <v>94.51600000000002</v>
      </c>
      <c r="I28" s="30">
        <v>130.25699999999998</v>
      </c>
      <c r="J28" s="30">
        <v>124.46400000000003</v>
      </c>
      <c r="K28" s="30">
        <v>132.82599999999999</v>
      </c>
      <c r="L28" s="30">
        <v>124.258</v>
      </c>
      <c r="M28" s="30">
        <v>108.539</v>
      </c>
      <c r="N28" s="30">
        <v>126.55</v>
      </c>
      <c r="O28" s="30">
        <v>95.953999999999994</v>
      </c>
      <c r="P28" s="49"/>
      <c r="Q28" s="239">
        <v>238.72164604249488</v>
      </c>
      <c r="R28" s="48">
        <v>221.57599999999999</v>
      </c>
      <c r="S28" s="33"/>
      <c r="T28" s="162">
        <v>-2.3754961370014777E-2</v>
      </c>
      <c r="U28" s="162">
        <v>7.7380429480155291E-2</v>
      </c>
      <c r="V28" s="154"/>
      <c r="X28" s="155"/>
      <c r="Y28" s="155"/>
    </row>
    <row r="29" spans="1:25">
      <c r="A29" s="25"/>
      <c r="B29" s="25"/>
      <c r="C29" s="25"/>
      <c r="D29" s="25"/>
      <c r="E29" s="25"/>
      <c r="F29" s="25"/>
      <c r="G29" s="25"/>
      <c r="H29" s="25"/>
      <c r="I29" s="25"/>
      <c r="J29" s="25"/>
      <c r="K29" s="25"/>
      <c r="L29" s="25"/>
      <c r="M29" s="25"/>
      <c r="N29" s="25"/>
      <c r="O29" s="25"/>
      <c r="P29" s="190"/>
      <c r="Q29" s="190"/>
      <c r="R29" s="190"/>
      <c r="S29" s="33"/>
      <c r="T29" s="33"/>
      <c r="U29" s="33"/>
      <c r="V29" s="154"/>
    </row>
    <row r="30" spans="1:25">
      <c r="A30" s="21" t="s">
        <v>194</v>
      </c>
      <c r="B30" s="21"/>
      <c r="C30" s="21"/>
      <c r="D30" s="21"/>
      <c r="E30" s="21"/>
      <c r="F30" s="21"/>
      <c r="G30" s="21"/>
      <c r="H30" s="21"/>
      <c r="I30" s="21"/>
      <c r="J30" s="21"/>
      <c r="K30" s="21"/>
      <c r="L30" s="21"/>
      <c r="M30" s="21"/>
      <c r="N30" s="21"/>
      <c r="O30" s="21"/>
      <c r="P30" s="191"/>
      <c r="Q30" s="191"/>
      <c r="R30" s="191"/>
      <c r="S30" s="37"/>
      <c r="T30" s="37"/>
      <c r="U30" s="37"/>
      <c r="V30" s="154"/>
    </row>
    <row r="31" spans="1:25">
      <c r="A31" s="25" t="s">
        <v>189</v>
      </c>
      <c r="B31" s="197">
        <v>120.18499999999997</v>
      </c>
      <c r="C31" s="222">
        <v>115.15900000000001</v>
      </c>
      <c r="D31" s="222">
        <v>119.15799999999999</v>
      </c>
      <c r="E31" s="222">
        <v>119.18600000000001</v>
      </c>
      <c r="F31" s="222">
        <v>120.97400000000002</v>
      </c>
      <c r="G31" s="222">
        <v>124.14400000000001</v>
      </c>
      <c r="H31" s="222">
        <v>131.61399999999998</v>
      </c>
      <c r="I31" s="222">
        <v>138.69800000000001</v>
      </c>
      <c r="J31" s="222">
        <v>138.887</v>
      </c>
      <c r="K31" s="222">
        <v>138.09899999999999</v>
      </c>
      <c r="L31" s="222">
        <v>140.61700000000002</v>
      </c>
      <c r="M31" s="222">
        <v>138.19900000000004</v>
      </c>
      <c r="N31" s="222">
        <v>130.93899999999999</v>
      </c>
      <c r="O31" s="222">
        <v>112.89899999999999</v>
      </c>
      <c r="P31" s="190"/>
      <c r="Q31" s="238">
        <v>235.34399999999999</v>
      </c>
      <c r="R31" s="26">
        <v>245.11800000000002</v>
      </c>
      <c r="S31" s="33"/>
      <c r="T31" s="28">
        <v>4.3644005244921957E-2</v>
      </c>
      <c r="U31" s="28">
        <v>-3.9874672606663032E-2</v>
      </c>
      <c r="V31" s="154"/>
    </row>
    <row r="32" spans="1:25">
      <c r="A32" s="25" t="s">
        <v>307</v>
      </c>
      <c r="B32" s="197">
        <v>41.746000000000002</v>
      </c>
      <c r="C32" s="222">
        <v>40.256</v>
      </c>
      <c r="D32" s="222">
        <v>41.805</v>
      </c>
      <c r="E32" s="222">
        <v>41.874000000000002</v>
      </c>
      <c r="F32" s="222">
        <v>46.247</v>
      </c>
      <c r="G32" s="222">
        <v>56.561</v>
      </c>
      <c r="H32" s="222">
        <v>63.936999999999983</v>
      </c>
      <c r="I32" s="222">
        <v>69.25800000000001</v>
      </c>
      <c r="J32" s="222">
        <v>72.463000000000008</v>
      </c>
      <c r="K32" s="222">
        <v>91.596999999999994</v>
      </c>
      <c r="L32" s="222">
        <v>97.212999999999965</v>
      </c>
      <c r="M32" s="222">
        <v>92.115000000000009</v>
      </c>
      <c r="N32" s="222">
        <v>75.701999999999998</v>
      </c>
      <c r="O32" s="222">
        <v>56.838000000000001</v>
      </c>
      <c r="P32" s="190"/>
      <c r="Q32" s="238">
        <v>82.00200000000001</v>
      </c>
      <c r="R32" s="26">
        <v>102.80799999999999</v>
      </c>
      <c r="S32" s="33"/>
      <c r="T32" s="28">
        <v>3.7013116057233751E-2</v>
      </c>
      <c r="U32" s="28">
        <v>-0.20237724690685535</v>
      </c>
      <c r="V32" s="154"/>
    </row>
    <row r="33" spans="1:22">
      <c r="A33" s="25" t="s">
        <v>317</v>
      </c>
      <c r="B33" s="197">
        <v>11.269</v>
      </c>
      <c r="C33" s="222">
        <v>10.548999999999999</v>
      </c>
      <c r="D33" s="222">
        <v>9.9629999999999992</v>
      </c>
      <c r="E33" s="222">
        <v>7.7569999999999997</v>
      </c>
      <c r="F33" s="222">
        <v>7.5890000000000004</v>
      </c>
      <c r="G33" s="222">
        <v>7.5060000000000002</v>
      </c>
      <c r="H33" s="222">
        <v>7.6730000000000018</v>
      </c>
      <c r="I33" s="222">
        <v>7.6729999999999983</v>
      </c>
      <c r="J33" s="222">
        <v>7.3370000000000006</v>
      </c>
      <c r="K33" s="222">
        <v>4.3289999999999997</v>
      </c>
      <c r="L33" s="222">
        <v>3.2189999999999999</v>
      </c>
      <c r="M33" s="129"/>
      <c r="N33" s="314"/>
      <c r="O33" s="129"/>
      <c r="P33" s="190"/>
      <c r="Q33" s="238">
        <v>21.817999999999998</v>
      </c>
      <c r="R33" s="26">
        <v>15.095000000000001</v>
      </c>
      <c r="S33" s="33"/>
      <c r="T33" s="28">
        <v>6.8252914968243497E-2</v>
      </c>
      <c r="U33" s="28">
        <v>0.44537926465717104</v>
      </c>
      <c r="V33" s="154"/>
    </row>
    <row r="34" spans="1:22">
      <c r="A34" s="25" t="s">
        <v>276</v>
      </c>
      <c r="B34" s="197">
        <v>38.657999999999994</v>
      </c>
      <c r="C34" s="222">
        <v>36.28</v>
      </c>
      <c r="D34" s="222">
        <v>33.951999999999998</v>
      </c>
      <c r="E34" s="222">
        <v>31.619</v>
      </c>
      <c r="F34" s="222">
        <v>30.829000000000001</v>
      </c>
      <c r="G34" s="222">
        <v>29.411999999999999</v>
      </c>
      <c r="H34" s="222">
        <v>30.583999999999996</v>
      </c>
      <c r="I34" s="222">
        <v>29.231000000000002</v>
      </c>
      <c r="J34" s="222">
        <v>27.225000000000001</v>
      </c>
      <c r="K34" s="222">
        <v>24.893000000000001</v>
      </c>
      <c r="L34" s="222">
        <v>24.271000000000001</v>
      </c>
      <c r="M34" s="222">
        <v>21.414999999999999</v>
      </c>
      <c r="N34" s="222">
        <v>16.523</v>
      </c>
      <c r="O34" s="222">
        <v>13.317</v>
      </c>
      <c r="P34" s="190"/>
      <c r="Q34" s="238">
        <v>74.937999999999988</v>
      </c>
      <c r="R34" s="26">
        <v>60.241</v>
      </c>
      <c r="S34" s="33"/>
      <c r="T34" s="28">
        <v>6.5545755237045006E-2</v>
      </c>
      <c r="U34" s="28">
        <v>0.24397005361796764</v>
      </c>
      <c r="V34" s="154"/>
    </row>
    <row r="35" spans="1:22">
      <c r="A35" s="25" t="s">
        <v>238</v>
      </c>
      <c r="B35" s="197">
        <v>1.5169999999999999</v>
      </c>
      <c r="C35" s="222">
        <v>1.492</v>
      </c>
      <c r="D35" s="222">
        <v>1.663</v>
      </c>
      <c r="E35" s="222">
        <v>1.7729999999999999</v>
      </c>
      <c r="F35" s="222">
        <v>2.161</v>
      </c>
      <c r="G35" s="222">
        <v>1.9430000000000001</v>
      </c>
      <c r="H35" s="222">
        <v>1.8610000000000042</v>
      </c>
      <c r="I35" s="222">
        <v>1.8829999999999991</v>
      </c>
      <c r="J35" s="222">
        <v>2.0519999999999996</v>
      </c>
      <c r="K35" s="222">
        <v>2.1229999999999976</v>
      </c>
      <c r="L35" s="222">
        <v>2.1819999999999986</v>
      </c>
      <c r="M35" s="222">
        <v>2.2579999999999991</v>
      </c>
      <c r="N35" s="222">
        <v>2.152000000000001</v>
      </c>
      <c r="O35" s="222">
        <v>1.8409999999999993</v>
      </c>
      <c r="P35" s="190"/>
      <c r="Q35" s="238">
        <v>3.0089999999999999</v>
      </c>
      <c r="R35" s="26">
        <v>4.1040000000000001</v>
      </c>
      <c r="S35" s="33"/>
      <c r="T35" s="28">
        <v>1.6756032171581711E-2</v>
      </c>
      <c r="U35" s="28">
        <v>-0.26681286549707606</v>
      </c>
      <c r="V35" s="154"/>
    </row>
    <row r="36" spans="1:22">
      <c r="A36" s="25"/>
      <c r="B36" s="245">
        <v>213.37499999999997</v>
      </c>
      <c r="C36" s="243">
        <v>203.73600000000002</v>
      </c>
      <c r="D36" s="243">
        <v>206.541</v>
      </c>
      <c r="E36" s="243">
        <v>202.209</v>
      </c>
      <c r="F36" s="243">
        <v>207.8</v>
      </c>
      <c r="G36" s="243">
        <v>219.56600000000003</v>
      </c>
      <c r="H36" s="243">
        <v>235.66899999999998</v>
      </c>
      <c r="I36" s="243">
        <v>246.74300000000002</v>
      </c>
      <c r="J36" s="243">
        <v>247.964</v>
      </c>
      <c r="K36" s="243">
        <v>261.041</v>
      </c>
      <c r="L36" s="243">
        <v>267.50200000000001</v>
      </c>
      <c r="M36" s="243">
        <v>253.98700000000005</v>
      </c>
      <c r="N36" s="243">
        <v>225.316</v>
      </c>
      <c r="O36" s="243">
        <v>184.89500000000001</v>
      </c>
      <c r="P36" s="190"/>
      <c r="Q36" s="241">
        <v>417.11099999999999</v>
      </c>
      <c r="R36" s="276">
        <v>427.36600000000004</v>
      </c>
      <c r="S36" s="33"/>
      <c r="T36" s="28">
        <v>4.7311226292849333E-2</v>
      </c>
      <c r="U36" s="28">
        <v>-2.3995825592115543E-2</v>
      </c>
      <c r="V36" s="154"/>
    </row>
    <row r="37" spans="1:22">
      <c r="A37" s="25" t="s">
        <v>190</v>
      </c>
      <c r="B37" s="197">
        <v>0</v>
      </c>
      <c r="C37" s="222">
        <v>0</v>
      </c>
      <c r="D37" s="222">
        <v>0</v>
      </c>
      <c r="E37" s="222">
        <v>0</v>
      </c>
      <c r="F37" s="222">
        <v>0</v>
      </c>
      <c r="G37" s="222">
        <v>0</v>
      </c>
      <c r="H37" s="222">
        <v>0</v>
      </c>
      <c r="I37" s="222">
        <v>0</v>
      </c>
      <c r="J37" s="222">
        <v>0</v>
      </c>
      <c r="K37" s="222">
        <v>0</v>
      </c>
      <c r="L37" s="222">
        <v>0</v>
      </c>
      <c r="M37" s="222">
        <v>0</v>
      </c>
      <c r="N37" s="222">
        <v>0</v>
      </c>
      <c r="O37" s="222">
        <v>0</v>
      </c>
      <c r="P37" s="190"/>
      <c r="Q37" s="238">
        <v>0</v>
      </c>
      <c r="R37" s="26">
        <v>0</v>
      </c>
      <c r="S37" s="33"/>
      <c r="T37" s="28">
        <v>0</v>
      </c>
      <c r="U37" s="28">
        <v>0</v>
      </c>
      <c r="V37" s="154"/>
    </row>
    <row r="38" spans="1:22">
      <c r="A38" s="25" t="s">
        <v>191</v>
      </c>
      <c r="B38" s="197">
        <v>1.165</v>
      </c>
      <c r="C38" s="222">
        <v>1.123</v>
      </c>
      <c r="D38" s="222">
        <v>1.5589999999999999</v>
      </c>
      <c r="E38" s="222">
        <v>2.2749999999999999</v>
      </c>
      <c r="F38" s="222">
        <v>2.593</v>
      </c>
      <c r="G38" s="222">
        <v>2.9409999999999998</v>
      </c>
      <c r="H38" s="222">
        <v>3.6110000000000002</v>
      </c>
      <c r="I38" s="222">
        <v>4.1950000000000003</v>
      </c>
      <c r="J38" s="222">
        <v>5.319</v>
      </c>
      <c r="K38" s="222">
        <v>5.5019999999999998</v>
      </c>
      <c r="L38" s="222">
        <v>4.0540000000000003</v>
      </c>
      <c r="M38" s="222">
        <v>3.4380000000000002</v>
      </c>
      <c r="N38" s="222">
        <v>2.802</v>
      </c>
      <c r="O38" s="222">
        <v>1.7370000000000001</v>
      </c>
      <c r="P38" s="190"/>
      <c r="Q38" s="238">
        <v>2.2880000000000003</v>
      </c>
      <c r="R38" s="26">
        <v>5.5339999999999998</v>
      </c>
      <c r="S38" s="33"/>
      <c r="T38" s="28">
        <v>3.7399821905610003E-2</v>
      </c>
      <c r="U38" s="28">
        <v>-0.58655583664618716</v>
      </c>
      <c r="V38" s="154"/>
    </row>
    <row r="39" spans="1:22">
      <c r="A39" s="25" t="s">
        <v>192</v>
      </c>
      <c r="B39" s="197">
        <v>0</v>
      </c>
      <c r="C39" s="222">
        <v>0</v>
      </c>
      <c r="D39" s="222">
        <v>0</v>
      </c>
      <c r="E39" s="222">
        <v>0</v>
      </c>
      <c r="F39" s="222">
        <v>0</v>
      </c>
      <c r="G39" s="222">
        <v>0</v>
      </c>
      <c r="H39" s="222">
        <v>0</v>
      </c>
      <c r="I39" s="222">
        <v>0</v>
      </c>
      <c r="J39" s="222">
        <v>0</v>
      </c>
      <c r="K39" s="222">
        <v>0</v>
      </c>
      <c r="L39" s="222">
        <v>0</v>
      </c>
      <c r="M39" s="222">
        <v>0</v>
      </c>
      <c r="N39" s="222">
        <v>0</v>
      </c>
      <c r="O39" s="222">
        <v>0</v>
      </c>
      <c r="P39" s="190"/>
      <c r="Q39" s="238">
        <v>0</v>
      </c>
      <c r="R39" s="26">
        <v>0</v>
      </c>
      <c r="S39" s="33"/>
      <c r="T39" s="28">
        <v>0</v>
      </c>
      <c r="U39" s="28">
        <v>0</v>
      </c>
      <c r="V39" s="154"/>
    </row>
    <row r="40" spans="1:22" ht="15.75" thickBot="1">
      <c r="A40" s="25"/>
      <c r="B40" s="264">
        <v>214.53999999999996</v>
      </c>
      <c r="C40" s="244">
        <v>204.85900000000001</v>
      </c>
      <c r="D40" s="244">
        <v>208.1</v>
      </c>
      <c r="E40" s="244">
        <v>204.48400000000001</v>
      </c>
      <c r="F40" s="244">
        <v>210.393</v>
      </c>
      <c r="G40" s="244">
        <v>222.50700000000003</v>
      </c>
      <c r="H40" s="244">
        <v>239.27999999999997</v>
      </c>
      <c r="I40" s="244">
        <v>250.93800000000002</v>
      </c>
      <c r="J40" s="244">
        <v>253.28299999999999</v>
      </c>
      <c r="K40" s="244">
        <v>266.54300000000001</v>
      </c>
      <c r="L40" s="244">
        <v>271.55599999999998</v>
      </c>
      <c r="M40" s="244">
        <v>257.42500000000007</v>
      </c>
      <c r="N40" s="244">
        <v>228.11799999999999</v>
      </c>
      <c r="O40" s="244">
        <v>186.63200000000001</v>
      </c>
      <c r="P40" s="190"/>
      <c r="Q40" s="242">
        <v>419.399</v>
      </c>
      <c r="R40" s="205">
        <v>432.90000000000003</v>
      </c>
      <c r="S40" s="33"/>
      <c r="T40" s="28">
        <v>4.7256893765955876E-2</v>
      </c>
      <c r="U40" s="28">
        <v>-3.1187341187341261E-2</v>
      </c>
      <c r="V40" s="154"/>
    </row>
    <row r="41" spans="1:22" ht="15.75" thickTop="1">
      <c r="A41" s="25"/>
      <c r="B41" s="246"/>
      <c r="C41" s="246"/>
      <c r="D41" s="246"/>
      <c r="E41" s="246"/>
      <c r="F41" s="246"/>
      <c r="G41" s="246"/>
      <c r="H41" s="246"/>
      <c r="I41" s="246"/>
      <c r="J41" s="246"/>
      <c r="K41" s="246"/>
      <c r="L41" s="246"/>
      <c r="M41" s="246"/>
      <c r="N41" s="246"/>
      <c r="O41" s="246"/>
      <c r="P41" s="190"/>
      <c r="Q41" s="248"/>
      <c r="R41" s="248"/>
      <c r="S41" s="33"/>
      <c r="T41" s="33"/>
      <c r="U41" s="33"/>
      <c r="V41" s="154"/>
    </row>
    <row r="42" spans="1:22">
      <c r="A42" s="21" t="s">
        <v>195</v>
      </c>
      <c r="B42" s="247"/>
      <c r="C42" s="247"/>
      <c r="D42" s="247"/>
      <c r="E42" s="247"/>
      <c r="F42" s="247"/>
      <c r="G42" s="247"/>
      <c r="H42" s="247"/>
      <c r="I42" s="247"/>
      <c r="J42" s="247"/>
      <c r="K42" s="247"/>
      <c r="L42" s="247"/>
      <c r="M42" s="247"/>
      <c r="N42" s="247"/>
      <c r="O42" s="247"/>
      <c r="P42" s="191"/>
      <c r="Q42" s="249"/>
      <c r="R42" s="191"/>
      <c r="S42" s="37"/>
      <c r="T42" s="37"/>
      <c r="U42" s="37"/>
      <c r="V42" s="154"/>
    </row>
    <row r="43" spans="1:22">
      <c r="A43" s="25" t="s">
        <v>83</v>
      </c>
      <c r="B43" s="197">
        <v>-15.602</v>
      </c>
      <c r="C43" s="222">
        <v>-14.651</v>
      </c>
      <c r="D43" s="222">
        <v>-14.82</v>
      </c>
      <c r="E43" s="222">
        <v>-14.382999999999999</v>
      </c>
      <c r="F43" s="222">
        <v>-15.034000000000001</v>
      </c>
      <c r="G43" s="222">
        <v>-17.988</v>
      </c>
      <c r="H43" s="222">
        <v>-17.48</v>
      </c>
      <c r="I43" s="222">
        <v>-18.817</v>
      </c>
      <c r="J43" s="222">
        <v>-16.963999999999999</v>
      </c>
      <c r="K43" s="222">
        <v>-14.686</v>
      </c>
      <c r="L43" s="222">
        <v>-12.537000000000001</v>
      </c>
      <c r="M43" s="222">
        <v>-9.3369999999999997</v>
      </c>
      <c r="N43" s="222">
        <v>-6.46</v>
      </c>
      <c r="O43" s="222">
        <v>-4.3659999999999997</v>
      </c>
      <c r="P43" s="190"/>
      <c r="Q43" s="238">
        <v>-30.253</v>
      </c>
      <c r="R43" s="26">
        <v>-33.021999999999998</v>
      </c>
      <c r="S43" s="33"/>
      <c r="T43" s="28">
        <v>6.4910245034468669E-2</v>
      </c>
      <c r="U43" s="28">
        <v>-8.3853188783235375E-2</v>
      </c>
      <c r="V43" s="154"/>
    </row>
    <row r="44" spans="1:22">
      <c r="A44" s="25" t="s">
        <v>193</v>
      </c>
      <c r="B44" s="197">
        <v>-1.33</v>
      </c>
      <c r="C44" s="222">
        <v>-1.4350000000000001</v>
      </c>
      <c r="D44" s="222">
        <v>-1.6910000000000001</v>
      </c>
      <c r="E44" s="222">
        <v>-1.5629999999999999</v>
      </c>
      <c r="F44" s="222">
        <v>-1.996</v>
      </c>
      <c r="G44" s="222">
        <v>-1.5640000000000001</v>
      </c>
      <c r="H44" s="222">
        <v>-1.869</v>
      </c>
      <c r="I44" s="222">
        <v>-2.5419999999999998</v>
      </c>
      <c r="J44" s="222">
        <v>-4.9050000000000002</v>
      </c>
      <c r="K44" s="222">
        <v>-21.233000000000001</v>
      </c>
      <c r="L44" s="222">
        <v>-22.577000000000002</v>
      </c>
      <c r="M44" s="222">
        <v>-20.515000000000001</v>
      </c>
      <c r="N44" s="222">
        <v>-18.05</v>
      </c>
      <c r="O44" s="222">
        <v>-13.347</v>
      </c>
      <c r="P44" s="190"/>
      <c r="Q44" s="238">
        <v>-2.7650000000000001</v>
      </c>
      <c r="R44" s="26">
        <v>-3.56</v>
      </c>
      <c r="S44" s="33"/>
      <c r="T44" s="28">
        <v>-7.3170731707317055E-2</v>
      </c>
      <c r="U44" s="28">
        <v>-0.22331460674157302</v>
      </c>
      <c r="V44" s="154"/>
    </row>
    <row r="45" spans="1:22">
      <c r="A45" s="25" t="s">
        <v>324</v>
      </c>
      <c r="B45" s="197">
        <v>-17.731999999999999</v>
      </c>
      <c r="C45" s="222">
        <v>-16.972999999999999</v>
      </c>
      <c r="D45" s="222">
        <v>-17.704999999999998</v>
      </c>
      <c r="E45" s="222">
        <v>-17.614999999999998</v>
      </c>
      <c r="F45" s="222">
        <v>-17.478999999999999</v>
      </c>
      <c r="G45" s="222">
        <v>-17.288</v>
      </c>
      <c r="H45" s="222">
        <v>-17.667000000000002</v>
      </c>
      <c r="I45" s="222">
        <v>-17.640999999999998</v>
      </c>
      <c r="J45" s="222">
        <v>-16.059999999999999</v>
      </c>
      <c r="K45" s="222">
        <v>-13.387</v>
      </c>
      <c r="L45" s="222">
        <v>-13.845000000000001</v>
      </c>
      <c r="M45" s="222">
        <v>-12.053000000000001</v>
      </c>
      <c r="N45" s="222">
        <v>-7.016</v>
      </c>
      <c r="O45" s="222">
        <v>-6.94</v>
      </c>
      <c r="P45" s="190"/>
      <c r="Q45" s="238">
        <v>-34.704999999999998</v>
      </c>
      <c r="R45" s="26">
        <v>-34.766999999999996</v>
      </c>
      <c r="S45" s="33"/>
      <c r="T45" s="28">
        <v>4.4718081659105659E-2</v>
      </c>
      <c r="U45" s="28">
        <v>-1.7833002559898071E-3</v>
      </c>
      <c r="V45" s="154"/>
    </row>
    <row r="46" spans="1:22">
      <c r="A46" s="25" t="s">
        <v>72</v>
      </c>
      <c r="B46" s="197">
        <v>0</v>
      </c>
      <c r="C46" s="222">
        <v>0</v>
      </c>
      <c r="D46" s="222">
        <v>0</v>
      </c>
      <c r="E46" s="222">
        <v>0</v>
      </c>
      <c r="F46" s="222">
        <v>0</v>
      </c>
      <c r="G46" s="222">
        <v>0</v>
      </c>
      <c r="H46" s="222">
        <v>0</v>
      </c>
      <c r="I46" s="222">
        <v>0</v>
      </c>
      <c r="J46" s="222">
        <v>0</v>
      </c>
      <c r="K46" s="222">
        <v>0</v>
      </c>
      <c r="L46" s="222">
        <v>0</v>
      </c>
      <c r="M46" s="222">
        <v>0</v>
      </c>
      <c r="N46" s="222">
        <v>0</v>
      </c>
      <c r="O46" s="222">
        <v>0</v>
      </c>
      <c r="P46" s="190"/>
      <c r="Q46" s="238">
        <v>0</v>
      </c>
      <c r="R46" s="26">
        <v>0</v>
      </c>
      <c r="S46" s="33"/>
      <c r="T46" s="28">
        <v>0</v>
      </c>
      <c r="U46" s="28">
        <v>0</v>
      </c>
      <c r="V46" s="154"/>
    </row>
    <row r="47" spans="1:22" ht="24.75">
      <c r="A47" s="29" t="s">
        <v>206</v>
      </c>
      <c r="B47" s="197">
        <v>0</v>
      </c>
      <c r="C47" s="222">
        <v>0</v>
      </c>
      <c r="D47" s="222">
        <v>0</v>
      </c>
      <c r="E47" s="222">
        <v>0</v>
      </c>
      <c r="F47" s="222">
        <v>0</v>
      </c>
      <c r="G47" s="222">
        <v>0</v>
      </c>
      <c r="H47" s="222">
        <v>0</v>
      </c>
      <c r="I47" s="222">
        <v>0</v>
      </c>
      <c r="J47" s="222">
        <v>0</v>
      </c>
      <c r="K47" s="222">
        <v>0</v>
      </c>
      <c r="L47" s="222">
        <v>0</v>
      </c>
      <c r="M47" s="222">
        <v>0</v>
      </c>
      <c r="N47" s="222">
        <v>0</v>
      </c>
      <c r="O47" s="222">
        <v>0</v>
      </c>
      <c r="P47" s="190"/>
      <c r="Q47" s="238">
        <v>0</v>
      </c>
      <c r="R47" s="26">
        <v>0</v>
      </c>
      <c r="S47" s="33"/>
      <c r="T47" s="28">
        <v>0</v>
      </c>
      <c r="U47" s="28">
        <v>0</v>
      </c>
      <c r="V47" s="154"/>
    </row>
    <row r="48" spans="1:22">
      <c r="A48" s="25"/>
      <c r="B48" s="245">
        <v>-34.664000000000001</v>
      </c>
      <c r="C48" s="243">
        <v>-33.058999999999997</v>
      </c>
      <c r="D48" s="243">
        <v>-34.215999999999994</v>
      </c>
      <c r="E48" s="243">
        <v>-33.561</v>
      </c>
      <c r="F48" s="243">
        <v>-34.509</v>
      </c>
      <c r="G48" s="243">
        <v>-36.840000000000003</v>
      </c>
      <c r="H48" s="243">
        <v>-37.016000000000005</v>
      </c>
      <c r="I48" s="243">
        <v>-39</v>
      </c>
      <c r="J48" s="243">
        <v>-37.929000000000002</v>
      </c>
      <c r="K48" s="243">
        <v>-49.305999999999997</v>
      </c>
      <c r="L48" s="243">
        <v>-48.959000000000003</v>
      </c>
      <c r="M48" s="243">
        <v>-41.905000000000001</v>
      </c>
      <c r="N48" s="243">
        <v>-31.526000000000003</v>
      </c>
      <c r="O48" s="243">
        <v>-24.653000000000002</v>
      </c>
      <c r="P48" s="190"/>
      <c r="Q48" s="241">
        <v>-67.722999999999999</v>
      </c>
      <c r="R48" s="276">
        <v>-71.349000000000004</v>
      </c>
      <c r="S48" s="33"/>
      <c r="T48" s="28">
        <v>4.8549562902689254E-2</v>
      </c>
      <c r="U48" s="28">
        <v>-5.0820614164178962E-2</v>
      </c>
      <c r="V48" s="154"/>
    </row>
    <row r="49" spans="1:22">
      <c r="A49" s="25" t="s">
        <v>191</v>
      </c>
      <c r="B49" s="197">
        <v>8.0289999999999999</v>
      </c>
      <c r="C49" s="222">
        <v>9.0779999999999994</v>
      </c>
      <c r="D49" s="222">
        <v>9.0670000000000002</v>
      </c>
      <c r="E49" s="222">
        <v>9.1829999999999998</v>
      </c>
      <c r="F49" s="222">
        <v>5.8319999999999999</v>
      </c>
      <c r="G49" s="222">
        <v>7.1999999999999995E-2</v>
      </c>
      <c r="H49" s="222">
        <v>-4.3760000000000003</v>
      </c>
      <c r="I49" s="222">
        <v>-8.2430000000000003</v>
      </c>
      <c r="J49" s="222">
        <v>-8.7219999999999995</v>
      </c>
      <c r="K49" s="222">
        <v>-3.9870000000000001</v>
      </c>
      <c r="L49" s="222">
        <v>-2.544</v>
      </c>
      <c r="M49" s="222">
        <v>-1.6990000000000001</v>
      </c>
      <c r="N49" s="222">
        <v>-0.501</v>
      </c>
      <c r="O49" s="222">
        <v>0.27300000000000002</v>
      </c>
      <c r="P49" s="190"/>
      <c r="Q49" s="238">
        <v>17.106999999999999</v>
      </c>
      <c r="R49" s="26">
        <v>5.9039999999999999</v>
      </c>
      <c r="S49" s="33"/>
      <c r="T49" s="28">
        <v>-0.11555408680326058</v>
      </c>
      <c r="U49" s="28">
        <v>1.8975271002710026</v>
      </c>
      <c r="V49" s="154"/>
    </row>
    <row r="50" spans="1:22" ht="15.75" thickBot="1">
      <c r="A50" s="25"/>
      <c r="B50" s="264">
        <v>-26.635000000000002</v>
      </c>
      <c r="C50" s="244">
        <v>-23.980999999999998</v>
      </c>
      <c r="D50" s="244">
        <v>-25.148999999999994</v>
      </c>
      <c r="E50" s="244">
        <v>-24.378</v>
      </c>
      <c r="F50" s="244">
        <v>-28.677</v>
      </c>
      <c r="G50" s="244">
        <v>-36.768000000000001</v>
      </c>
      <c r="H50" s="244">
        <v>-41.392000000000003</v>
      </c>
      <c r="I50" s="244">
        <v>-47.243000000000002</v>
      </c>
      <c r="J50" s="244">
        <v>-46.651000000000003</v>
      </c>
      <c r="K50" s="244">
        <v>-53.292999999999999</v>
      </c>
      <c r="L50" s="244">
        <v>-51.503</v>
      </c>
      <c r="M50" s="244">
        <v>-43.603999999999999</v>
      </c>
      <c r="N50" s="244">
        <v>-32.027000000000001</v>
      </c>
      <c r="O50" s="244">
        <v>-24.380000000000003</v>
      </c>
      <c r="P50" s="190"/>
      <c r="Q50" s="242">
        <v>-50.616</v>
      </c>
      <c r="R50" s="205">
        <v>-65.444999999999993</v>
      </c>
      <c r="S50" s="33"/>
      <c r="T50" s="28">
        <v>0.11067094783370184</v>
      </c>
      <c r="U50" s="28">
        <v>-0.22658721063488418</v>
      </c>
      <c r="V50" s="154"/>
    </row>
    <row r="51" spans="1:22" ht="15.75" thickTop="1">
      <c r="A51" s="25"/>
      <c r="B51" s="256"/>
      <c r="C51" s="256"/>
      <c r="D51" s="256"/>
      <c r="E51" s="256"/>
      <c r="F51" s="256"/>
      <c r="G51" s="256"/>
      <c r="H51" s="256"/>
      <c r="I51" s="256"/>
      <c r="J51" s="256"/>
      <c r="K51" s="256"/>
      <c r="L51" s="256"/>
      <c r="M51" s="256"/>
      <c r="N51" s="256"/>
      <c r="O51" s="256"/>
      <c r="P51" s="190"/>
      <c r="Q51" s="190"/>
      <c r="R51" s="248"/>
      <c r="S51" s="33"/>
      <c r="T51" s="33"/>
      <c r="U51" s="33"/>
      <c r="V51" s="154"/>
    </row>
    <row r="52" spans="1:22">
      <c r="A52" s="21" t="s">
        <v>1</v>
      </c>
      <c r="B52" s="21"/>
      <c r="C52" s="21"/>
      <c r="D52" s="21"/>
      <c r="E52" s="21"/>
      <c r="F52" s="21"/>
      <c r="G52" s="21"/>
      <c r="H52" s="21"/>
      <c r="I52" s="21"/>
      <c r="J52" s="21"/>
      <c r="K52" s="21"/>
      <c r="L52" s="21"/>
      <c r="M52" s="21"/>
      <c r="N52" s="21"/>
      <c r="O52" s="21"/>
      <c r="P52" s="191"/>
      <c r="Q52" s="191"/>
      <c r="R52" s="191"/>
      <c r="S52" s="37"/>
      <c r="T52" s="37"/>
      <c r="U52" s="37"/>
      <c r="V52" s="154"/>
    </row>
    <row r="53" spans="1:22">
      <c r="A53" s="38" t="s">
        <v>48</v>
      </c>
      <c r="B53" s="240">
        <v>2.8512484199675916E-2</v>
      </c>
      <c r="C53" s="41">
        <v>2.8057203031084648E-2</v>
      </c>
      <c r="D53" s="41">
        <v>2.8253473648031813E-2</v>
      </c>
      <c r="E53" s="41">
        <v>2.8598523549371681E-2</v>
      </c>
      <c r="F53" s="41">
        <v>2.9792835858833962E-2</v>
      </c>
      <c r="G53" s="41">
        <v>3.125136208319787E-2</v>
      </c>
      <c r="H53" s="41">
        <v>3.3384868682624864E-2</v>
      </c>
      <c r="I53" s="41">
        <v>3.5165406384889464E-2</v>
      </c>
      <c r="J53" s="41">
        <v>3.6792190099611342E-2</v>
      </c>
      <c r="K53" s="41">
        <v>3.7016142947926746E-2</v>
      </c>
      <c r="L53" s="41">
        <v>3.6593275296371033E-2</v>
      </c>
      <c r="M53" s="41">
        <v>3.6278664400716032E-2</v>
      </c>
      <c r="N53" s="41">
        <v>3.4342092288413409E-2</v>
      </c>
      <c r="O53" s="41">
        <v>2.9067110064785181E-2</v>
      </c>
      <c r="P53" s="51"/>
      <c r="Q53" s="283">
        <v>2.8268008413471754E-2</v>
      </c>
      <c r="R53" s="159">
        <v>3.0512537823247546E-2</v>
      </c>
      <c r="S53" s="39"/>
      <c r="T53" s="159">
        <v>4.5528116859126777E-4</v>
      </c>
      <c r="U53" s="159">
        <v>-2.2445294097757917E-3</v>
      </c>
      <c r="V53" s="154"/>
    </row>
    <row r="54" spans="1:22">
      <c r="A54" s="38" t="s">
        <v>293</v>
      </c>
      <c r="B54" s="202">
        <v>0.17395934026099552</v>
      </c>
      <c r="C54" s="28">
        <v>0.17739088671429429</v>
      </c>
      <c r="D54" s="28">
        <v>0.16881211841869415</v>
      </c>
      <c r="E54" s="28">
        <v>0.17559374890908458</v>
      </c>
      <c r="F54" s="28">
        <v>0.17407760038398892</v>
      </c>
      <c r="G54" s="28">
        <v>0.17241771739599643</v>
      </c>
      <c r="H54" s="28">
        <v>0.17360024906133134</v>
      </c>
      <c r="I54" s="28">
        <v>0.15938323621694309</v>
      </c>
      <c r="J54" s="28">
        <v>0.16211586569146011</v>
      </c>
      <c r="K54" s="28">
        <v>0.15222282201120921</v>
      </c>
      <c r="L54" s="28">
        <v>0.15669097133307275</v>
      </c>
      <c r="M54" s="28">
        <v>0.1578211308979999</v>
      </c>
      <c r="N54" s="28">
        <v>0.16366265129745342</v>
      </c>
      <c r="O54" s="28">
        <v>0.1893155659084681</v>
      </c>
      <c r="P54" s="51"/>
      <c r="Q54" s="232">
        <v>0.17562518579253014</v>
      </c>
      <c r="R54" s="50">
        <v>0.17324660066758743</v>
      </c>
      <c r="S54" s="39"/>
      <c r="T54" s="159">
        <v>-3.4315464532987672E-3</v>
      </c>
      <c r="U54" s="159">
        <v>2.3785851249427115E-3</v>
      </c>
      <c r="V54" s="154"/>
    </row>
    <row r="55" spans="1:22">
      <c r="A55" s="38" t="s">
        <v>49</v>
      </c>
      <c r="B55" s="202">
        <v>0.39248371391755593</v>
      </c>
      <c r="C55" s="28">
        <v>0.42085751416454631</v>
      </c>
      <c r="D55" s="28">
        <v>0.46683217465196647</v>
      </c>
      <c r="E55" s="28">
        <v>0.40470112463136637</v>
      </c>
      <c r="F55" s="28">
        <v>0.39928603303740906</v>
      </c>
      <c r="G55" s="28">
        <v>0.37394531223317873</v>
      </c>
      <c r="H55" s="28">
        <v>0.42819485045759531</v>
      </c>
      <c r="I55" s="28">
        <v>0.37913361832491937</v>
      </c>
      <c r="J55" s="28">
        <v>0.34288431647482581</v>
      </c>
      <c r="K55" s="28">
        <v>0.33485564962575548</v>
      </c>
      <c r="L55" s="28">
        <v>0.35900742448877543</v>
      </c>
      <c r="M55" s="28">
        <v>0.34244888831544806</v>
      </c>
      <c r="N55" s="28">
        <v>0.32024174509334691</v>
      </c>
      <c r="O55" s="28">
        <v>0.38820424184615498</v>
      </c>
      <c r="P55" s="51"/>
      <c r="Q55" s="232">
        <v>0.40626050395677366</v>
      </c>
      <c r="R55" s="50">
        <v>0.38659952809152121</v>
      </c>
      <c r="S55" s="39"/>
      <c r="T55" s="50">
        <v>-2.8373800246990377E-2</v>
      </c>
      <c r="U55" s="50">
        <v>1.966097586525245E-2</v>
      </c>
      <c r="V55" s="154"/>
    </row>
    <row r="56" spans="1:22" ht="24.75">
      <c r="A56" s="79" t="s">
        <v>165</v>
      </c>
      <c r="B56" s="202">
        <v>0.35883244849018642</v>
      </c>
      <c r="C56" s="28">
        <v>0.36526470871762479</v>
      </c>
      <c r="D56" s="28">
        <v>0.41760934661048715</v>
      </c>
      <c r="E56" s="28">
        <v>0.35271038549304734</v>
      </c>
      <c r="F56" s="28">
        <v>0.36859718527838481</v>
      </c>
      <c r="G56" s="28">
        <v>0.34365480243118152</v>
      </c>
      <c r="H56" s="28">
        <v>0.37982255122980085</v>
      </c>
      <c r="I56" s="28">
        <v>0.35247200967211756</v>
      </c>
      <c r="J56" s="28">
        <v>0.31644953668877346</v>
      </c>
      <c r="K56" s="28">
        <v>0.29291360557716428</v>
      </c>
      <c r="L56" s="28">
        <v>0.31646491354560702</v>
      </c>
      <c r="M56" s="28">
        <v>0.30197960899622911</v>
      </c>
      <c r="N56" s="28">
        <v>0.29446641221621739</v>
      </c>
      <c r="O56" s="28">
        <v>0.34072719055573014</v>
      </c>
      <c r="P56" s="51"/>
      <c r="Q56" s="232">
        <v>0.36195785011084408</v>
      </c>
      <c r="R56" s="50">
        <v>0.3561101538908874</v>
      </c>
      <c r="S56" s="39"/>
      <c r="T56" s="50">
        <v>-6.4322602274383689E-3</v>
      </c>
      <c r="U56" s="50">
        <v>5.8476962199566773E-3</v>
      </c>
      <c r="V56" s="154"/>
    </row>
    <row r="57" spans="1:22">
      <c r="A57" s="38" t="s">
        <v>294</v>
      </c>
      <c r="B57" s="179">
        <v>2.2314499046296222E-2</v>
      </c>
      <c r="C57" s="40">
        <v>2.0492283527183408E-2</v>
      </c>
      <c r="D57" s="40">
        <v>2.0552376960922332E-2</v>
      </c>
      <c r="E57" s="40">
        <v>2.2157557327756226E-2</v>
      </c>
      <c r="F57" s="40">
        <v>2.2705906667815176E-2</v>
      </c>
      <c r="G57" s="40">
        <v>2.426662541290248E-2</v>
      </c>
      <c r="H57" s="40">
        <v>2.3173690196568841E-2</v>
      </c>
      <c r="I57" s="40">
        <v>2.6838360250884354E-2</v>
      </c>
      <c r="J57" s="40">
        <v>2.8587573446328354E-2</v>
      </c>
      <c r="K57" s="40">
        <v>2.8637680356900997E-2</v>
      </c>
      <c r="L57" s="40">
        <v>2.8484514211546127E-2</v>
      </c>
      <c r="M57" s="40">
        <v>2.8522770110759772E-2</v>
      </c>
      <c r="N57" s="40">
        <v>2.9600614456600505E-2</v>
      </c>
      <c r="O57" s="40">
        <v>2.286887816323472E-2</v>
      </c>
      <c r="P57" s="52"/>
      <c r="Q57" s="284">
        <v>2.1395483465380973E-2</v>
      </c>
      <c r="R57" s="158">
        <v>2.3485003746837381E-2</v>
      </c>
      <c r="S57" s="40"/>
      <c r="T57" s="158">
        <v>1.8222155191128138E-3</v>
      </c>
      <c r="U57" s="158">
        <v>-2.0895202814564078E-3</v>
      </c>
      <c r="V57" s="154"/>
    </row>
    <row r="58" spans="1:22">
      <c r="A58" s="38" t="s">
        <v>430</v>
      </c>
      <c r="B58" s="179">
        <v>0.19249978837605361</v>
      </c>
      <c r="C58" s="40">
        <v>0.1802750530452982</v>
      </c>
      <c r="D58" s="40">
        <v>0.19417544654888563</v>
      </c>
      <c r="E58" s="40">
        <v>0.18487154476471204</v>
      </c>
      <c r="F58" s="40">
        <v>0.1822550676193731</v>
      </c>
      <c r="G58" s="40">
        <v>0.18269833698239882</v>
      </c>
      <c r="H58" s="40">
        <v>0.17109595380936665</v>
      </c>
      <c r="I58" s="40">
        <v>0.21571988377847437</v>
      </c>
      <c r="J58" s="40">
        <v>0.23658441688160511</v>
      </c>
      <c r="K58" s="40">
        <v>0.2357132297337049</v>
      </c>
      <c r="L58" s="40">
        <v>0.25641615718660282</v>
      </c>
      <c r="M58" s="40">
        <v>0.25586877238181183</v>
      </c>
      <c r="N58" s="40">
        <v>0.26590972962349801</v>
      </c>
      <c r="O58" s="40">
        <v>0.21322341739952172</v>
      </c>
      <c r="P58" s="52"/>
      <c r="Q58" s="284">
        <v>0.18767079912027709</v>
      </c>
      <c r="R58" s="158">
        <v>0.18388407727288436</v>
      </c>
      <c r="S58" s="40"/>
      <c r="T58" s="158">
        <v>1.222473533075541E-2</v>
      </c>
      <c r="U58" s="158">
        <v>3.7867218473927322E-3</v>
      </c>
      <c r="V58" s="154"/>
    </row>
    <row r="59" spans="1:22" ht="26.25">
      <c r="A59" s="79" t="s">
        <v>492</v>
      </c>
      <c r="B59" s="179">
        <v>0.27897943741620318</v>
      </c>
      <c r="C59" s="40">
        <v>0.26515173041820411</v>
      </c>
      <c r="D59" s="40">
        <v>0.27715951959968893</v>
      </c>
      <c r="E59" s="40">
        <v>0.25909413343933929</v>
      </c>
      <c r="F59" s="40">
        <v>0.26130759939504472</v>
      </c>
      <c r="G59" s="40">
        <v>0.25857526232453937</v>
      </c>
      <c r="H59" s="40">
        <v>0.23247661035908457</v>
      </c>
      <c r="I59" s="40">
        <v>0.28187180428783959</v>
      </c>
      <c r="J59" s="40">
        <v>0.29899732386787337</v>
      </c>
      <c r="K59" s="40">
        <v>0.29105670746111151</v>
      </c>
      <c r="L59" s="40">
        <v>0.28800889254891482</v>
      </c>
      <c r="M59" s="129"/>
      <c r="N59" s="129"/>
      <c r="O59" s="40">
        <v>0.21876384910279292</v>
      </c>
      <c r="P59" s="52"/>
      <c r="Q59" s="284">
        <v>0.2727312768941455</v>
      </c>
      <c r="R59" s="158">
        <v>0.25992447267786628</v>
      </c>
      <c r="S59" s="40"/>
      <c r="T59" s="158">
        <v>1.3827706997999067E-2</v>
      </c>
      <c r="U59" s="158">
        <v>1.2806804216279222E-2</v>
      </c>
      <c r="V59" s="154"/>
    </row>
    <row r="60" spans="1:22" ht="26.25">
      <c r="A60" s="79" t="s">
        <v>493</v>
      </c>
      <c r="B60" s="277">
        <v>0.30070000000000002</v>
      </c>
      <c r="C60" s="39">
        <v>0.27729999999999999</v>
      </c>
      <c r="D60" s="39">
        <v>0.29189999999999999</v>
      </c>
      <c r="E60" s="39">
        <v>0.27060000000000001</v>
      </c>
      <c r="F60" s="39">
        <v>0.26829999999999998</v>
      </c>
      <c r="G60" s="39">
        <v>0.26579999999999998</v>
      </c>
      <c r="H60" s="39">
        <v>0.2427</v>
      </c>
      <c r="I60" s="39">
        <v>0.29299999999999998</v>
      </c>
      <c r="J60" s="39">
        <v>0.30880000000000002</v>
      </c>
      <c r="K60" s="39">
        <v>0.29680000000000001</v>
      </c>
      <c r="L60" s="39">
        <v>0.309</v>
      </c>
      <c r="M60" s="39">
        <v>0.28949999999999998</v>
      </c>
      <c r="N60" s="39">
        <v>0.28139999999999998</v>
      </c>
      <c r="O60" s="39">
        <v>0.21240000000000001</v>
      </c>
      <c r="P60" s="51"/>
      <c r="Q60" s="285">
        <v>0.57791513226254265</v>
      </c>
      <c r="R60" s="262">
        <v>0.53510000000000002</v>
      </c>
      <c r="S60" s="41"/>
      <c r="T60" s="262">
        <v>2.3400000000000032E-2</v>
      </c>
      <c r="U60" s="262">
        <v>4.2815132262542632E-2</v>
      </c>
      <c r="V60" s="154"/>
    </row>
    <row r="61" spans="1:22">
      <c r="A61" s="79" t="s">
        <v>494</v>
      </c>
      <c r="B61" s="277">
        <v>6.1529234968403443</v>
      </c>
      <c r="C61" s="39">
        <v>6.376405755354785</v>
      </c>
      <c r="D61" s="39">
        <v>6.1025504895292375</v>
      </c>
      <c r="E61" s="39">
        <v>5.8622903152017747</v>
      </c>
      <c r="F61" s="39">
        <v>5.8012689732506599</v>
      </c>
      <c r="G61" s="39">
        <v>6.0400619610942794</v>
      </c>
      <c r="H61" s="39">
        <v>5.7682956341149358</v>
      </c>
      <c r="I61" s="39">
        <v>5.5643879837857693</v>
      </c>
      <c r="J61" s="39">
        <v>5.2674440331105066</v>
      </c>
      <c r="K61" s="39">
        <v>5.2314373610629836</v>
      </c>
      <c r="L61" s="39">
        <v>4.9270401840244116</v>
      </c>
      <c r="M61" s="39">
        <v>4.632723689808353</v>
      </c>
      <c r="N61" s="39">
        <v>4.34</v>
      </c>
      <c r="O61" s="39">
        <v>4.1500000000000004</v>
      </c>
      <c r="P61" s="51"/>
      <c r="Q61" s="285">
        <v>6.1529234968403443</v>
      </c>
      <c r="R61" s="262">
        <v>5.8012689732506599</v>
      </c>
      <c r="S61" s="41"/>
      <c r="T61" s="262">
        <v>-0.2234822585144407</v>
      </c>
      <c r="U61" s="262">
        <v>0.35165452358968441</v>
      </c>
      <c r="V61" s="154"/>
    </row>
    <row r="62" spans="1:22" ht="26.25">
      <c r="A62" s="79" t="s">
        <v>495</v>
      </c>
      <c r="B62" s="277">
        <v>5.9129234968403441</v>
      </c>
      <c r="C62" s="39">
        <v>5.876405755354785</v>
      </c>
      <c r="D62" s="39">
        <v>5.6025504895292375</v>
      </c>
      <c r="E62" s="39">
        <v>5.8622903152017747</v>
      </c>
      <c r="F62" s="39">
        <v>5.6012689732506598</v>
      </c>
      <c r="G62" s="39">
        <v>5.560061961094279</v>
      </c>
      <c r="H62" s="39">
        <v>5.2882956341149363</v>
      </c>
      <c r="I62" s="39">
        <v>5.5643879837857693</v>
      </c>
      <c r="J62" s="39">
        <v>5.2674440331105066</v>
      </c>
      <c r="K62" s="39">
        <v>4.9814373610629836</v>
      </c>
      <c r="L62" s="39">
        <v>4.68</v>
      </c>
      <c r="M62" s="39">
        <v>4.632723689808353</v>
      </c>
      <c r="N62" s="39">
        <v>4.34</v>
      </c>
      <c r="O62" s="39">
        <v>4.1000000000000005</v>
      </c>
      <c r="P62" s="51"/>
      <c r="Q62" s="285">
        <v>5.9129234968403441</v>
      </c>
      <c r="R62" s="262">
        <v>5.6012689732506598</v>
      </c>
      <c r="S62" s="41"/>
      <c r="T62" s="262">
        <v>3.6517741485559085E-2</v>
      </c>
      <c r="U62" s="262">
        <v>0.31165452358968437</v>
      </c>
      <c r="V62" s="154"/>
    </row>
    <row r="63" spans="1:22">
      <c r="A63" s="24"/>
      <c r="B63" s="24"/>
      <c r="C63" s="24"/>
      <c r="D63" s="24"/>
      <c r="E63" s="24"/>
      <c r="F63" s="24"/>
      <c r="G63" s="24"/>
      <c r="H63" s="24"/>
      <c r="I63" s="24"/>
      <c r="J63" s="24"/>
      <c r="K63" s="24"/>
      <c r="L63" s="24"/>
      <c r="M63" s="24"/>
      <c r="N63" s="24"/>
      <c r="O63" s="24"/>
      <c r="P63" s="51"/>
      <c r="Q63" s="192"/>
      <c r="R63" s="192"/>
      <c r="S63" s="42"/>
      <c r="T63" s="42"/>
      <c r="U63" s="42"/>
      <c r="V63" s="154"/>
    </row>
    <row r="64" spans="1:22">
      <c r="A64" s="21" t="s">
        <v>2</v>
      </c>
      <c r="B64" s="21"/>
      <c r="C64" s="21"/>
      <c r="D64" s="21"/>
      <c r="E64" s="21"/>
      <c r="F64" s="21"/>
      <c r="G64" s="21"/>
      <c r="H64" s="21"/>
      <c r="I64" s="21"/>
      <c r="J64" s="21"/>
      <c r="K64" s="21"/>
      <c r="L64" s="21"/>
      <c r="M64" s="21"/>
      <c r="N64" s="21"/>
      <c r="O64" s="21"/>
      <c r="P64" s="193"/>
      <c r="Q64" s="193"/>
      <c r="R64" s="193"/>
      <c r="S64" s="22"/>
      <c r="T64" s="22"/>
      <c r="U64" s="35"/>
      <c r="V64" s="154"/>
    </row>
    <row r="65" spans="1:22">
      <c r="A65" s="43"/>
      <c r="B65" s="313">
        <v>46203</v>
      </c>
      <c r="C65" s="259">
        <v>46112</v>
      </c>
      <c r="D65" s="259">
        <v>46022</v>
      </c>
      <c r="E65" s="259">
        <v>45930</v>
      </c>
      <c r="F65" s="259">
        <v>45838</v>
      </c>
      <c r="G65" s="259">
        <v>45747</v>
      </c>
      <c r="H65" s="259">
        <v>45627</v>
      </c>
      <c r="I65" s="259">
        <v>45536</v>
      </c>
      <c r="J65" s="259">
        <v>45444</v>
      </c>
      <c r="K65" s="259">
        <v>45352</v>
      </c>
      <c r="L65" s="259">
        <v>45261</v>
      </c>
      <c r="M65" s="259">
        <v>45170</v>
      </c>
      <c r="N65" s="259">
        <v>45078</v>
      </c>
      <c r="O65" s="259">
        <v>44986</v>
      </c>
      <c r="P65" s="194"/>
      <c r="Q65" s="194"/>
      <c r="R65" s="194"/>
      <c r="S65" s="44"/>
      <c r="T65" s="44"/>
      <c r="U65" s="24"/>
      <c r="V65" s="154"/>
    </row>
    <row r="66" spans="1:22">
      <c r="A66" s="19" t="s">
        <v>199</v>
      </c>
      <c r="B66" s="19"/>
      <c r="C66" s="19"/>
      <c r="D66" s="19"/>
      <c r="E66" s="19"/>
      <c r="F66" s="19"/>
      <c r="G66" s="19"/>
      <c r="H66" s="19"/>
      <c r="I66" s="19"/>
      <c r="J66" s="19"/>
      <c r="K66" s="19"/>
      <c r="L66" s="19"/>
      <c r="M66" s="19"/>
      <c r="N66" s="19"/>
      <c r="O66" s="19"/>
      <c r="P66" s="195"/>
      <c r="Q66" s="195"/>
      <c r="R66" s="195"/>
      <c r="S66" s="38"/>
      <c r="T66" s="24"/>
      <c r="U66" s="24"/>
      <c r="V66" s="154"/>
    </row>
    <row r="67" spans="1:22">
      <c r="A67" s="38" t="s">
        <v>200</v>
      </c>
      <c r="B67" s="317" t="s">
        <v>367</v>
      </c>
      <c r="C67" s="73" t="s">
        <v>367</v>
      </c>
      <c r="D67" s="73" t="s">
        <v>367</v>
      </c>
      <c r="E67" s="73" t="s">
        <v>367</v>
      </c>
      <c r="F67" s="73" t="s">
        <v>367</v>
      </c>
      <c r="G67" s="73" t="s">
        <v>367</v>
      </c>
      <c r="H67" s="73" t="s">
        <v>367</v>
      </c>
      <c r="I67" s="73" t="s">
        <v>331</v>
      </c>
      <c r="J67" s="73" t="s">
        <v>331</v>
      </c>
      <c r="K67" s="73" t="s">
        <v>318</v>
      </c>
      <c r="L67" s="73" t="s">
        <v>318</v>
      </c>
      <c r="M67" s="73" t="s">
        <v>267</v>
      </c>
      <c r="N67" s="73" t="s">
        <v>267</v>
      </c>
      <c r="O67" s="73" t="s">
        <v>267</v>
      </c>
      <c r="P67" s="195"/>
      <c r="Q67" s="195"/>
      <c r="R67" s="195"/>
      <c r="S67" s="38"/>
      <c r="T67" s="24"/>
      <c r="U67" s="24"/>
      <c r="V67" s="154"/>
    </row>
    <row r="68" spans="1:22">
      <c r="A68" s="38" t="s">
        <v>201</v>
      </c>
      <c r="B68" s="317" t="s">
        <v>368</v>
      </c>
      <c r="C68" s="73" t="s">
        <v>368</v>
      </c>
      <c r="D68" s="73" t="s">
        <v>368</v>
      </c>
      <c r="E68" s="73" t="s">
        <v>368</v>
      </c>
      <c r="F68" s="73" t="s">
        <v>368</v>
      </c>
      <c r="G68" s="73" t="s">
        <v>368</v>
      </c>
      <c r="H68" s="73" t="s">
        <v>368</v>
      </c>
      <c r="I68" s="73" t="s">
        <v>156</v>
      </c>
      <c r="J68" s="73" t="s">
        <v>156</v>
      </c>
      <c r="K68" s="73" t="s">
        <v>156</v>
      </c>
      <c r="L68" s="73" t="s">
        <v>156</v>
      </c>
      <c r="M68" s="73" t="s">
        <v>156</v>
      </c>
      <c r="N68" s="73" t="s">
        <v>156</v>
      </c>
      <c r="O68" s="73" t="s">
        <v>156</v>
      </c>
      <c r="P68" s="195"/>
      <c r="Q68" s="195"/>
      <c r="R68" s="195"/>
      <c r="S68" s="38"/>
      <c r="T68" s="24"/>
      <c r="U68" s="24"/>
      <c r="V68" s="154"/>
    </row>
    <row r="69" spans="1:22">
      <c r="A69" s="38" t="s">
        <v>62</v>
      </c>
      <c r="B69" s="317" t="s">
        <v>202</v>
      </c>
      <c r="C69" s="73" t="s">
        <v>202</v>
      </c>
      <c r="D69" s="73" t="s">
        <v>202</v>
      </c>
      <c r="E69" s="73" t="s">
        <v>250</v>
      </c>
      <c r="F69" s="73" t="s">
        <v>250</v>
      </c>
      <c r="G69" s="73" t="s">
        <v>250</v>
      </c>
      <c r="H69" s="73" t="s">
        <v>250</v>
      </c>
      <c r="I69" s="73" t="s">
        <v>202</v>
      </c>
      <c r="J69" s="73" t="s">
        <v>202</v>
      </c>
      <c r="K69" s="73" t="s">
        <v>202</v>
      </c>
      <c r="L69" s="73" t="s">
        <v>202</v>
      </c>
      <c r="M69" s="73" t="s">
        <v>202</v>
      </c>
      <c r="N69" s="73" t="s">
        <v>202</v>
      </c>
      <c r="O69" s="73" t="s">
        <v>202</v>
      </c>
      <c r="P69" s="195"/>
      <c r="Q69" s="195"/>
      <c r="R69" s="195"/>
      <c r="S69" s="38"/>
      <c r="T69" s="24"/>
      <c r="U69" s="24"/>
      <c r="V69" s="154"/>
    </row>
    <row r="70" spans="1:22">
      <c r="A70" s="19"/>
      <c r="B70" s="317"/>
      <c r="C70" s="73"/>
      <c r="D70" s="73"/>
      <c r="E70" s="73"/>
      <c r="F70" s="73"/>
      <c r="G70" s="73"/>
      <c r="H70" s="73"/>
      <c r="I70" s="73"/>
      <c r="J70" s="73"/>
      <c r="K70" s="73"/>
      <c r="L70" s="73"/>
      <c r="M70" s="73"/>
      <c r="N70" s="73"/>
      <c r="O70" s="73"/>
      <c r="P70" s="195"/>
      <c r="Q70" s="195"/>
      <c r="R70" s="195"/>
      <c r="S70" s="38"/>
      <c r="T70" s="24"/>
      <c r="U70" s="24"/>
      <c r="V70" s="154"/>
    </row>
    <row r="71" spans="1:22">
      <c r="A71" s="19" t="s">
        <v>58</v>
      </c>
      <c r="B71" s="317"/>
      <c r="C71" s="73"/>
      <c r="D71" s="73"/>
      <c r="E71" s="73"/>
      <c r="F71" s="73"/>
      <c r="G71" s="73"/>
      <c r="H71" s="73"/>
      <c r="I71" s="73"/>
      <c r="J71" s="73"/>
      <c r="K71" s="73"/>
      <c r="L71" s="73"/>
      <c r="M71" s="73"/>
      <c r="N71" s="73"/>
      <c r="O71" s="73"/>
      <c r="P71" s="195"/>
      <c r="Q71" s="195"/>
      <c r="R71" s="195"/>
      <c r="S71" s="38"/>
      <c r="T71" s="24"/>
      <c r="U71" s="24"/>
      <c r="V71" s="154"/>
    </row>
    <row r="72" spans="1:22">
      <c r="A72" s="38" t="s">
        <v>59</v>
      </c>
      <c r="B72" s="317" t="s">
        <v>504</v>
      </c>
      <c r="C72" s="73" t="s">
        <v>504</v>
      </c>
      <c r="D72" s="73" t="s">
        <v>504</v>
      </c>
      <c r="E72" s="73" t="s">
        <v>367</v>
      </c>
      <c r="F72" s="73" t="s">
        <v>367</v>
      </c>
      <c r="G72" s="73" t="s">
        <v>367</v>
      </c>
      <c r="H72" s="73" t="s">
        <v>331</v>
      </c>
      <c r="I72" s="73" t="s">
        <v>331</v>
      </c>
      <c r="J72" s="73" t="s">
        <v>318</v>
      </c>
      <c r="K72" s="73" t="s">
        <v>318</v>
      </c>
      <c r="L72" s="73" t="s">
        <v>318</v>
      </c>
      <c r="M72" s="73" t="s">
        <v>249</v>
      </c>
      <c r="N72" s="73" t="s">
        <v>249</v>
      </c>
      <c r="O72" s="73" t="s">
        <v>249</v>
      </c>
      <c r="P72" s="196"/>
      <c r="Q72" s="196"/>
      <c r="R72" s="196"/>
      <c r="S72" s="45"/>
      <c r="T72" s="45"/>
      <c r="U72" s="24"/>
      <c r="V72" s="154"/>
    </row>
    <row r="73" spans="1:22">
      <c r="A73" s="38" t="s">
        <v>60</v>
      </c>
      <c r="B73" s="317" t="s">
        <v>376</v>
      </c>
      <c r="C73" s="73" t="s">
        <v>376</v>
      </c>
      <c r="D73" s="73" t="s">
        <v>376</v>
      </c>
      <c r="E73" s="73" t="s">
        <v>376</v>
      </c>
      <c r="F73" s="73" t="s">
        <v>376</v>
      </c>
      <c r="G73" s="73" t="s">
        <v>376</v>
      </c>
      <c r="H73" s="73" t="s">
        <v>156</v>
      </c>
      <c r="I73" s="73" t="s">
        <v>156</v>
      </c>
      <c r="J73" s="73" t="s">
        <v>156</v>
      </c>
      <c r="K73" s="73" t="s">
        <v>156</v>
      </c>
      <c r="L73" s="73" t="s">
        <v>156</v>
      </c>
      <c r="M73" s="73" t="s">
        <v>156</v>
      </c>
      <c r="N73" s="73" t="s">
        <v>156</v>
      </c>
      <c r="O73" s="73" t="s">
        <v>156</v>
      </c>
      <c r="P73" s="196"/>
      <c r="Q73" s="196"/>
      <c r="R73" s="196"/>
      <c r="S73" s="45"/>
      <c r="T73" s="45"/>
      <c r="U73" s="24"/>
      <c r="V73" s="154"/>
    </row>
    <row r="74" spans="1:22">
      <c r="A74" s="38" t="s">
        <v>61</v>
      </c>
      <c r="B74" s="317" t="s">
        <v>505</v>
      </c>
      <c r="C74" s="73" t="s">
        <v>505</v>
      </c>
      <c r="D74" s="73" t="s">
        <v>505</v>
      </c>
      <c r="E74" s="73" t="s">
        <v>377</v>
      </c>
      <c r="F74" s="73" t="s">
        <v>377</v>
      </c>
      <c r="G74" s="73" t="s">
        <v>377</v>
      </c>
      <c r="H74" s="73" t="s">
        <v>338</v>
      </c>
      <c r="I74" s="73" t="s">
        <v>338</v>
      </c>
      <c r="J74" s="73" t="s">
        <v>319</v>
      </c>
      <c r="K74" s="73" t="s">
        <v>319</v>
      </c>
      <c r="L74" s="73" t="s">
        <v>319</v>
      </c>
      <c r="M74" s="73" t="s">
        <v>272</v>
      </c>
      <c r="N74" s="73" t="s">
        <v>272</v>
      </c>
      <c r="O74" s="73" t="s">
        <v>272</v>
      </c>
      <c r="P74" s="196"/>
      <c r="Q74" s="196"/>
      <c r="R74" s="196"/>
      <c r="S74" s="45"/>
      <c r="T74" s="45"/>
      <c r="U74" s="24"/>
      <c r="V74" s="154"/>
    </row>
    <row r="75" spans="1:22">
      <c r="A75" s="38" t="s">
        <v>62</v>
      </c>
      <c r="B75" s="317" t="s">
        <v>250</v>
      </c>
      <c r="C75" s="73" t="s">
        <v>250</v>
      </c>
      <c r="D75" s="73" t="s">
        <v>250</v>
      </c>
      <c r="E75" s="73" t="s">
        <v>202</v>
      </c>
      <c r="F75" s="73" t="s">
        <v>202</v>
      </c>
      <c r="G75" s="73" t="s">
        <v>202</v>
      </c>
      <c r="H75" s="73" t="s">
        <v>202</v>
      </c>
      <c r="I75" s="73" t="s">
        <v>202</v>
      </c>
      <c r="J75" s="73" t="s">
        <v>202</v>
      </c>
      <c r="K75" s="73" t="s">
        <v>202</v>
      </c>
      <c r="L75" s="73" t="s">
        <v>202</v>
      </c>
      <c r="M75" s="73" t="s">
        <v>202</v>
      </c>
      <c r="N75" s="73" t="s">
        <v>202</v>
      </c>
      <c r="O75" s="73" t="s">
        <v>202</v>
      </c>
      <c r="P75" s="196"/>
      <c r="Q75" s="196"/>
      <c r="R75" s="196"/>
      <c r="S75" s="45"/>
      <c r="T75" s="45"/>
      <c r="U75" s="24"/>
      <c r="V75" s="154"/>
    </row>
    <row r="76" spans="1:22">
      <c r="A76" s="24"/>
      <c r="B76" s="317"/>
      <c r="C76" s="73"/>
      <c r="D76" s="73"/>
      <c r="E76" s="73"/>
      <c r="F76" s="73"/>
      <c r="G76" s="73"/>
      <c r="H76" s="73"/>
      <c r="I76" s="73"/>
      <c r="J76" s="73"/>
      <c r="K76" s="73"/>
      <c r="L76" s="73"/>
      <c r="M76" s="73"/>
      <c r="N76" s="73"/>
      <c r="O76" s="73"/>
      <c r="P76" s="196"/>
      <c r="Q76" s="196"/>
      <c r="R76" s="196"/>
      <c r="S76" s="45"/>
      <c r="T76" s="45"/>
      <c r="U76" s="154"/>
      <c r="V76" s="154"/>
    </row>
    <row r="77" spans="1:22">
      <c r="A77" s="19" t="s">
        <v>63</v>
      </c>
      <c r="B77" s="317"/>
      <c r="C77" s="73"/>
      <c r="D77" s="73"/>
      <c r="E77" s="73"/>
      <c r="F77" s="73"/>
      <c r="G77" s="73"/>
      <c r="H77" s="73"/>
      <c r="I77" s="73"/>
      <c r="J77" s="73"/>
      <c r="K77" s="73"/>
      <c r="L77" s="73"/>
      <c r="M77" s="73"/>
      <c r="N77" s="73"/>
      <c r="O77" s="73"/>
      <c r="P77" s="196"/>
      <c r="Q77" s="196"/>
      <c r="R77" s="196"/>
      <c r="S77" s="45"/>
      <c r="T77" s="45"/>
      <c r="U77" s="154"/>
      <c r="V77" s="154"/>
    </row>
    <row r="78" spans="1:22">
      <c r="A78" s="38" t="s">
        <v>64</v>
      </c>
      <c r="B78" s="317" t="s">
        <v>373</v>
      </c>
      <c r="C78" s="73" t="s">
        <v>373</v>
      </c>
      <c r="D78" s="73" t="s">
        <v>373</v>
      </c>
      <c r="E78" s="73" t="s">
        <v>373</v>
      </c>
      <c r="F78" s="73" t="s">
        <v>373</v>
      </c>
      <c r="G78" s="73" t="s">
        <v>373</v>
      </c>
      <c r="H78" s="73" t="s">
        <v>339</v>
      </c>
      <c r="I78" s="73" t="s">
        <v>339</v>
      </c>
      <c r="J78" s="73" t="s">
        <v>289</v>
      </c>
      <c r="K78" s="73" t="s">
        <v>289</v>
      </c>
      <c r="L78" s="73" t="s">
        <v>289</v>
      </c>
      <c r="M78" s="73" t="s">
        <v>289</v>
      </c>
      <c r="N78" s="73" t="s">
        <v>281</v>
      </c>
      <c r="O78" s="73" t="s">
        <v>268</v>
      </c>
      <c r="P78" s="196"/>
      <c r="Q78" s="196"/>
      <c r="R78" s="196"/>
      <c r="S78" s="45"/>
      <c r="T78" s="45"/>
      <c r="U78" s="154"/>
      <c r="V78" s="154"/>
    </row>
    <row r="79" spans="1:22">
      <c r="A79" s="38" t="s">
        <v>59</v>
      </c>
      <c r="B79" s="317" t="s">
        <v>375</v>
      </c>
      <c r="C79" s="73" t="s">
        <v>375</v>
      </c>
      <c r="D79" s="73" t="s">
        <v>375</v>
      </c>
      <c r="E79" s="73" t="s">
        <v>375</v>
      </c>
      <c r="F79" s="73" t="s">
        <v>375</v>
      </c>
      <c r="G79" s="73" t="s">
        <v>375</v>
      </c>
      <c r="H79" s="73" t="s">
        <v>340</v>
      </c>
      <c r="I79" s="73" t="s">
        <v>340</v>
      </c>
      <c r="J79" s="73" t="s">
        <v>290</v>
      </c>
      <c r="K79" s="73" t="s">
        <v>290</v>
      </c>
      <c r="L79" s="73" t="s">
        <v>290</v>
      </c>
      <c r="M79" s="73" t="s">
        <v>290</v>
      </c>
      <c r="N79" s="73" t="s">
        <v>282</v>
      </c>
      <c r="O79" s="73" t="s">
        <v>269</v>
      </c>
      <c r="P79" s="196"/>
      <c r="Q79" s="196"/>
      <c r="R79" s="196"/>
      <c r="S79" s="45"/>
      <c r="T79" s="45"/>
      <c r="U79" s="154"/>
      <c r="V79" s="154"/>
    </row>
    <row r="80" spans="1:22">
      <c r="A80" s="38" t="s">
        <v>60</v>
      </c>
      <c r="B80" s="317" t="s">
        <v>341</v>
      </c>
      <c r="C80" s="73" t="s">
        <v>341</v>
      </c>
      <c r="D80" s="73" t="s">
        <v>341</v>
      </c>
      <c r="E80" s="73" t="s">
        <v>341</v>
      </c>
      <c r="F80" s="73" t="s">
        <v>341</v>
      </c>
      <c r="G80" s="73" t="s">
        <v>341</v>
      </c>
      <c r="H80" s="73" t="s">
        <v>341</v>
      </c>
      <c r="I80" s="73" t="s">
        <v>341</v>
      </c>
      <c r="J80" s="73" t="s">
        <v>291</v>
      </c>
      <c r="K80" s="73" t="s">
        <v>291</v>
      </c>
      <c r="L80" s="73" t="s">
        <v>291</v>
      </c>
      <c r="M80" s="73" t="s">
        <v>291</v>
      </c>
      <c r="N80" s="73" t="s">
        <v>157</v>
      </c>
      <c r="O80" s="73" t="s">
        <v>157</v>
      </c>
      <c r="P80" s="196"/>
      <c r="Q80" s="196"/>
      <c r="R80" s="196"/>
      <c r="S80" s="45"/>
      <c r="T80" s="45"/>
      <c r="U80" s="154"/>
      <c r="V80" s="154"/>
    </row>
    <row r="81" spans="1:22" ht="36.75">
      <c r="A81" s="38" t="s">
        <v>65</v>
      </c>
      <c r="B81" s="318" t="s">
        <v>374</v>
      </c>
      <c r="C81" s="270" t="s">
        <v>374</v>
      </c>
      <c r="D81" s="270" t="s">
        <v>374</v>
      </c>
      <c r="E81" s="270" t="s">
        <v>374</v>
      </c>
      <c r="F81" s="270" t="s">
        <v>374</v>
      </c>
      <c r="G81" s="270" t="s">
        <v>374</v>
      </c>
      <c r="H81" s="270" t="s">
        <v>342</v>
      </c>
      <c r="I81" s="270" t="s">
        <v>342</v>
      </c>
      <c r="J81" s="270" t="s">
        <v>292</v>
      </c>
      <c r="K81" s="270" t="s">
        <v>292</v>
      </c>
      <c r="L81" s="270" t="s">
        <v>292</v>
      </c>
      <c r="M81" s="270" t="s">
        <v>292</v>
      </c>
      <c r="N81" s="270" t="s">
        <v>283</v>
      </c>
      <c r="O81" s="270" t="s">
        <v>270</v>
      </c>
      <c r="P81" s="196"/>
      <c r="Q81" s="196"/>
      <c r="R81" s="196"/>
      <c r="S81" s="45"/>
      <c r="T81" s="45"/>
      <c r="U81" s="154"/>
      <c r="V81" s="154"/>
    </row>
    <row r="82" spans="1:22">
      <c r="A82" s="38" t="s">
        <v>62</v>
      </c>
      <c r="B82" s="317" t="s">
        <v>158</v>
      </c>
      <c r="C82" s="73" t="s">
        <v>158</v>
      </c>
      <c r="D82" s="73" t="s">
        <v>158</v>
      </c>
      <c r="E82" s="73" t="s">
        <v>250</v>
      </c>
      <c r="F82" s="73" t="s">
        <v>250</v>
      </c>
      <c r="G82" s="73" t="s">
        <v>250</v>
      </c>
      <c r="H82" s="73" t="s">
        <v>202</v>
      </c>
      <c r="I82" s="73" t="s">
        <v>250</v>
      </c>
      <c r="J82" s="73" t="s">
        <v>158</v>
      </c>
      <c r="K82" s="73" t="s">
        <v>158</v>
      </c>
      <c r="L82" s="73" t="s">
        <v>158</v>
      </c>
      <c r="M82" s="73" t="s">
        <v>158</v>
      </c>
      <c r="N82" s="73" t="s">
        <v>158</v>
      </c>
      <c r="O82" s="73" t="s">
        <v>158</v>
      </c>
      <c r="P82" s="195"/>
      <c r="Q82" s="195"/>
      <c r="R82" s="195"/>
      <c r="S82" s="38"/>
      <c r="T82" s="24"/>
      <c r="U82" s="154"/>
      <c r="V82" s="154"/>
    </row>
    <row r="83" spans="1:22">
      <c r="A83" s="154"/>
      <c r="B83" s="154"/>
      <c r="C83" s="154"/>
      <c r="D83" s="154"/>
      <c r="E83" s="154"/>
      <c r="F83" s="154"/>
      <c r="G83" s="154"/>
      <c r="H83" s="154"/>
      <c r="I83" s="154"/>
      <c r="J83" s="154"/>
      <c r="K83" s="154"/>
      <c r="L83" s="154"/>
      <c r="M83" s="154"/>
      <c r="N83" s="154"/>
      <c r="O83" s="154"/>
      <c r="P83" s="154"/>
      <c r="Q83" s="154"/>
      <c r="R83" s="154"/>
      <c r="S83" s="154"/>
      <c r="T83" s="154"/>
      <c r="U83" s="154"/>
      <c r="V83" s="154"/>
    </row>
    <row r="84" spans="1:22">
      <c r="A84" s="323" t="s">
        <v>499</v>
      </c>
      <c r="B84" s="323"/>
      <c r="C84" s="323"/>
      <c r="D84" s="323"/>
      <c r="E84" s="323"/>
      <c r="F84" s="323"/>
      <c r="G84" s="323"/>
      <c r="H84" s="323"/>
      <c r="I84" s="323"/>
      <c r="J84" s="323"/>
      <c r="K84" s="323"/>
      <c r="L84" s="323"/>
      <c r="M84" s="323"/>
      <c r="N84" s="323"/>
      <c r="O84" s="323"/>
      <c r="P84" s="323"/>
      <c r="Q84" s="323"/>
      <c r="R84" s="323"/>
      <c r="S84" s="323"/>
      <c r="T84" s="323"/>
      <c r="U84" s="323"/>
      <c r="V84" s="154"/>
    </row>
    <row r="85" spans="1:22" ht="30" customHeight="1">
      <c r="A85" s="323" t="s">
        <v>496</v>
      </c>
      <c r="B85" s="323"/>
      <c r="C85" s="323"/>
      <c r="D85" s="323"/>
      <c r="E85" s="323"/>
      <c r="F85" s="323"/>
      <c r="G85" s="323"/>
      <c r="H85" s="323"/>
      <c r="I85" s="323"/>
      <c r="J85" s="323"/>
      <c r="K85" s="323"/>
      <c r="L85" s="323"/>
      <c r="M85" s="323"/>
      <c r="N85" s="323"/>
      <c r="O85" s="323"/>
      <c r="P85" s="323"/>
      <c r="Q85" s="323"/>
      <c r="R85" s="323"/>
      <c r="S85" s="323"/>
      <c r="T85" s="323"/>
      <c r="U85" s="323"/>
      <c r="V85" s="154"/>
    </row>
    <row r="86" spans="1:22" ht="27.75" customHeight="1">
      <c r="A86" s="323" t="s">
        <v>497</v>
      </c>
      <c r="B86" s="323"/>
      <c r="C86" s="323"/>
      <c r="D86" s="323"/>
      <c r="E86" s="323"/>
      <c r="F86" s="323"/>
      <c r="G86" s="323"/>
      <c r="H86" s="323"/>
      <c r="I86" s="323"/>
      <c r="J86" s="323"/>
      <c r="K86" s="323"/>
      <c r="L86" s="323"/>
      <c r="M86" s="323"/>
      <c r="N86" s="323"/>
      <c r="O86" s="323"/>
      <c r="P86" s="323"/>
      <c r="Q86" s="323"/>
      <c r="R86" s="323"/>
      <c r="S86" s="323"/>
      <c r="T86" s="323"/>
      <c r="U86" s="323"/>
      <c r="V86" s="154"/>
    </row>
    <row r="87" spans="1:22" ht="18" customHeight="1">
      <c r="A87" s="323" t="s">
        <v>498</v>
      </c>
      <c r="B87" s="323"/>
      <c r="C87" s="323"/>
      <c r="D87" s="323"/>
      <c r="E87" s="323"/>
      <c r="F87" s="323"/>
      <c r="G87" s="323"/>
      <c r="H87" s="323"/>
      <c r="I87" s="323"/>
      <c r="J87" s="323"/>
      <c r="K87" s="323"/>
      <c r="L87" s="323"/>
      <c r="M87" s="323"/>
      <c r="N87" s="323"/>
      <c r="O87" s="323"/>
      <c r="P87" s="323"/>
      <c r="Q87" s="323"/>
      <c r="R87" s="323"/>
      <c r="S87" s="323"/>
      <c r="T87" s="323"/>
      <c r="U87" s="323"/>
      <c r="V87" s="154"/>
    </row>
    <row r="88" spans="1:22">
      <c r="A88" s="154"/>
      <c r="B88" s="154"/>
      <c r="C88" s="154"/>
      <c r="D88" s="154"/>
      <c r="E88" s="154"/>
      <c r="F88" s="154"/>
      <c r="G88" s="154"/>
      <c r="H88" s="154"/>
      <c r="I88" s="154"/>
      <c r="J88" s="154"/>
      <c r="K88" s="154"/>
      <c r="L88" s="154"/>
      <c r="M88" s="154"/>
      <c r="N88" s="154"/>
      <c r="O88" s="154"/>
      <c r="P88" s="154"/>
      <c r="Q88" s="154"/>
      <c r="R88" s="154"/>
      <c r="S88" s="154"/>
      <c r="T88" s="154"/>
      <c r="U88" s="154"/>
      <c r="V88" s="154"/>
    </row>
    <row r="89" spans="1:22">
      <c r="A89" s="154"/>
      <c r="B89" s="154"/>
      <c r="C89" s="154"/>
      <c r="D89" s="154"/>
      <c r="E89" s="154"/>
      <c r="F89" s="154"/>
      <c r="G89" s="154"/>
      <c r="H89" s="154"/>
      <c r="I89" s="154"/>
      <c r="J89" s="154"/>
      <c r="K89" s="154"/>
      <c r="L89" s="154"/>
      <c r="M89" s="154"/>
      <c r="N89" s="154"/>
      <c r="O89" s="154"/>
      <c r="P89" s="154"/>
      <c r="Q89" s="154"/>
      <c r="R89" s="154"/>
      <c r="S89" s="154"/>
      <c r="T89" s="154"/>
      <c r="U89" s="154"/>
      <c r="V89" s="154"/>
    </row>
    <row r="90" spans="1:22">
      <c r="A90" s="154"/>
      <c r="B90" s="154"/>
      <c r="C90" s="154"/>
      <c r="D90" s="154"/>
      <c r="E90" s="154"/>
      <c r="F90" s="154"/>
      <c r="G90" s="154"/>
      <c r="H90" s="154"/>
      <c r="I90" s="154"/>
      <c r="J90" s="154"/>
      <c r="K90" s="154"/>
      <c r="L90" s="154"/>
      <c r="M90" s="154"/>
      <c r="N90" s="154"/>
      <c r="O90" s="154"/>
      <c r="P90" s="154"/>
      <c r="Q90" s="154"/>
      <c r="R90" s="154"/>
      <c r="S90" s="154"/>
      <c r="T90" s="154"/>
      <c r="U90" s="154"/>
      <c r="V90" s="154"/>
    </row>
    <row r="91" spans="1:22">
      <c r="A91" s="154"/>
      <c r="B91" s="154"/>
      <c r="C91" s="154"/>
      <c r="D91" s="154"/>
      <c r="E91" s="154"/>
      <c r="F91" s="154"/>
      <c r="G91" s="154"/>
      <c r="H91" s="154"/>
      <c r="I91" s="154"/>
      <c r="J91" s="154"/>
      <c r="K91" s="154"/>
      <c r="L91" s="154"/>
      <c r="M91" s="154"/>
      <c r="N91" s="154"/>
      <c r="O91" s="154"/>
      <c r="P91" s="154"/>
      <c r="Q91" s="154"/>
      <c r="R91" s="154"/>
      <c r="S91" s="154"/>
      <c r="T91" s="154"/>
      <c r="U91" s="154"/>
      <c r="V91" s="154"/>
    </row>
    <row r="92" spans="1:22">
      <c r="A92" s="154"/>
      <c r="B92" s="154"/>
      <c r="C92" s="154"/>
      <c r="D92" s="154"/>
      <c r="E92" s="154"/>
      <c r="F92" s="154"/>
      <c r="G92" s="154"/>
      <c r="H92" s="154"/>
      <c r="I92" s="154"/>
      <c r="J92" s="154"/>
      <c r="K92" s="154"/>
      <c r="L92" s="154"/>
      <c r="M92" s="154"/>
      <c r="N92" s="154"/>
      <c r="O92" s="154"/>
      <c r="P92" s="154"/>
      <c r="Q92" s="154"/>
      <c r="R92" s="154"/>
      <c r="S92" s="154"/>
      <c r="T92" s="154"/>
      <c r="U92" s="154"/>
      <c r="V92" s="154"/>
    </row>
    <row r="93" spans="1:22">
      <c r="A93" s="154"/>
      <c r="B93" s="154"/>
      <c r="C93" s="154"/>
      <c r="D93" s="154"/>
      <c r="E93" s="154"/>
      <c r="F93" s="154"/>
      <c r="G93" s="154"/>
      <c r="H93" s="154"/>
      <c r="I93" s="154"/>
      <c r="J93" s="154"/>
      <c r="K93" s="154"/>
      <c r="L93" s="154"/>
      <c r="M93" s="154"/>
      <c r="N93" s="154"/>
      <c r="O93" s="154"/>
      <c r="P93" s="154"/>
      <c r="Q93" s="154"/>
      <c r="R93" s="154"/>
      <c r="S93" s="154"/>
      <c r="T93" s="154"/>
      <c r="U93" s="154"/>
      <c r="V93" s="154"/>
    </row>
    <row r="94" spans="1:22">
      <c r="A94" s="154"/>
      <c r="B94" s="154"/>
      <c r="C94" s="154"/>
      <c r="D94" s="154"/>
      <c r="E94" s="154"/>
      <c r="F94" s="154"/>
      <c r="G94" s="154"/>
      <c r="H94" s="154"/>
      <c r="I94" s="154"/>
      <c r="J94" s="154"/>
      <c r="K94" s="154"/>
      <c r="L94" s="154"/>
      <c r="M94" s="154"/>
      <c r="N94" s="154"/>
      <c r="O94" s="154"/>
      <c r="P94" s="154"/>
      <c r="Q94" s="154"/>
      <c r="R94" s="154"/>
      <c r="S94" s="154"/>
      <c r="T94" s="154"/>
      <c r="U94" s="154"/>
      <c r="V94" s="154"/>
    </row>
    <row r="95" spans="1:22">
      <c r="A95" s="154"/>
      <c r="B95" s="154"/>
      <c r="C95" s="154"/>
      <c r="D95" s="154"/>
      <c r="E95" s="154"/>
      <c r="F95" s="154"/>
      <c r="G95" s="154"/>
      <c r="H95" s="154"/>
      <c r="I95" s="154"/>
      <c r="J95" s="154"/>
      <c r="K95" s="154"/>
      <c r="L95" s="154"/>
      <c r="M95" s="154"/>
      <c r="N95" s="154"/>
      <c r="O95" s="154"/>
      <c r="P95" s="154"/>
      <c r="Q95" s="154"/>
      <c r="R95" s="154"/>
      <c r="S95" s="154"/>
      <c r="T95" s="154"/>
      <c r="U95" s="154"/>
      <c r="V95" s="154"/>
    </row>
    <row r="96" spans="1:22">
      <c r="A96" s="154"/>
      <c r="B96" s="154"/>
      <c r="C96" s="154"/>
      <c r="D96" s="154"/>
      <c r="E96" s="154"/>
      <c r="F96" s="154"/>
      <c r="G96" s="154"/>
      <c r="H96" s="154"/>
      <c r="I96" s="154"/>
      <c r="J96" s="154"/>
      <c r="K96" s="154"/>
      <c r="L96" s="154"/>
      <c r="M96" s="154"/>
      <c r="N96" s="154"/>
      <c r="O96" s="154"/>
      <c r="P96" s="154"/>
      <c r="Q96" s="154"/>
      <c r="R96" s="154"/>
      <c r="S96" s="154"/>
      <c r="T96" s="154"/>
      <c r="U96" s="154"/>
      <c r="V96" s="154"/>
    </row>
    <row r="97" spans="1:22">
      <c r="A97" s="154"/>
      <c r="B97" s="154"/>
      <c r="C97" s="154"/>
      <c r="D97" s="154"/>
      <c r="E97" s="154"/>
      <c r="F97" s="154"/>
      <c r="G97" s="154"/>
      <c r="H97" s="154"/>
      <c r="I97" s="154"/>
      <c r="J97" s="154"/>
      <c r="K97" s="154"/>
      <c r="L97" s="154"/>
      <c r="M97" s="154"/>
      <c r="N97" s="154"/>
      <c r="O97" s="154"/>
      <c r="P97" s="154"/>
      <c r="Q97" s="154"/>
      <c r="R97" s="154"/>
      <c r="S97" s="154"/>
      <c r="T97" s="154"/>
      <c r="U97" s="154"/>
      <c r="V97" s="154"/>
    </row>
    <row r="98" spans="1:22">
      <c r="A98" s="154"/>
      <c r="B98" s="154"/>
      <c r="C98" s="154"/>
      <c r="D98" s="154"/>
      <c r="E98" s="154"/>
      <c r="F98" s="154"/>
      <c r="G98" s="154"/>
      <c r="H98" s="154"/>
      <c r="I98" s="154"/>
      <c r="J98" s="154"/>
      <c r="K98" s="154"/>
      <c r="L98" s="154"/>
      <c r="M98" s="154"/>
      <c r="N98" s="154"/>
      <c r="O98" s="154"/>
      <c r="P98" s="154"/>
      <c r="Q98" s="154"/>
      <c r="R98" s="154"/>
      <c r="S98" s="154"/>
      <c r="T98" s="154"/>
      <c r="U98" s="154"/>
      <c r="V98" s="154"/>
    </row>
    <row r="99" spans="1:22">
      <c r="A99" s="154"/>
      <c r="B99" s="154"/>
      <c r="C99" s="154"/>
      <c r="D99" s="154"/>
      <c r="E99" s="154"/>
      <c r="F99" s="154"/>
      <c r="G99" s="154"/>
      <c r="H99" s="154"/>
      <c r="I99" s="154"/>
      <c r="J99" s="154"/>
      <c r="K99" s="154"/>
      <c r="L99" s="154"/>
      <c r="M99" s="154"/>
      <c r="N99" s="154"/>
      <c r="O99" s="154"/>
      <c r="P99" s="154"/>
      <c r="Q99" s="154"/>
      <c r="R99" s="154"/>
      <c r="S99" s="154"/>
      <c r="T99" s="154"/>
      <c r="U99" s="154"/>
      <c r="V99" s="154"/>
    </row>
    <row r="100" spans="1:22">
      <c r="A100" s="154"/>
      <c r="B100" s="154"/>
      <c r="C100" s="154"/>
      <c r="D100" s="154"/>
      <c r="E100" s="154"/>
      <c r="F100" s="154"/>
      <c r="G100" s="154"/>
      <c r="H100" s="154"/>
      <c r="I100" s="154"/>
      <c r="J100" s="154"/>
      <c r="K100" s="154"/>
      <c r="L100" s="154"/>
      <c r="M100" s="154"/>
      <c r="N100" s="154"/>
      <c r="O100" s="154"/>
      <c r="P100" s="154"/>
      <c r="Q100" s="154"/>
      <c r="R100" s="154"/>
      <c r="S100" s="154"/>
      <c r="T100" s="154"/>
      <c r="U100" s="154"/>
      <c r="V100" s="154"/>
    </row>
    <row r="101" spans="1:22">
      <c r="A101" s="154"/>
      <c r="B101" s="154"/>
      <c r="C101" s="154"/>
      <c r="D101" s="154"/>
      <c r="E101" s="154"/>
      <c r="F101" s="154"/>
      <c r="G101" s="154"/>
      <c r="H101" s="154"/>
      <c r="I101" s="154"/>
      <c r="J101" s="154"/>
      <c r="K101" s="154"/>
      <c r="L101" s="154"/>
      <c r="M101" s="154"/>
      <c r="N101" s="154"/>
      <c r="O101" s="154"/>
      <c r="P101" s="154"/>
      <c r="Q101" s="154"/>
      <c r="R101" s="154"/>
      <c r="S101" s="154"/>
      <c r="T101" s="154"/>
      <c r="U101" s="154"/>
      <c r="V101" s="154"/>
    </row>
    <row r="102" spans="1:22">
      <c r="A102" s="154"/>
      <c r="B102" s="154"/>
      <c r="C102" s="154"/>
      <c r="D102" s="154"/>
      <c r="E102" s="154"/>
      <c r="F102" s="154"/>
      <c r="G102" s="154"/>
      <c r="H102" s="154"/>
      <c r="I102" s="154"/>
      <c r="J102" s="154"/>
      <c r="K102" s="154"/>
      <c r="L102" s="154"/>
      <c r="M102" s="154"/>
      <c r="N102" s="154"/>
      <c r="O102" s="154"/>
      <c r="P102" s="154"/>
      <c r="Q102" s="154"/>
      <c r="R102" s="154"/>
      <c r="S102" s="154"/>
      <c r="T102" s="154"/>
      <c r="U102" s="154"/>
      <c r="V102" s="154"/>
    </row>
    <row r="103" spans="1:22">
      <c r="A103" s="154"/>
      <c r="B103" s="154"/>
      <c r="C103" s="154"/>
      <c r="D103" s="154"/>
      <c r="E103" s="154"/>
      <c r="F103" s="154"/>
      <c r="G103" s="154"/>
      <c r="H103" s="154"/>
      <c r="I103" s="154"/>
      <c r="J103" s="154"/>
      <c r="K103" s="154"/>
      <c r="L103" s="154"/>
      <c r="M103" s="154"/>
      <c r="N103" s="154"/>
      <c r="O103" s="154"/>
      <c r="P103" s="154"/>
      <c r="Q103" s="154"/>
      <c r="R103" s="154"/>
      <c r="S103" s="154"/>
      <c r="T103" s="154"/>
      <c r="U103" s="154"/>
      <c r="V103" s="154"/>
    </row>
    <row r="104" spans="1:22">
      <c r="A104" s="154"/>
      <c r="B104" s="154"/>
      <c r="C104" s="154"/>
      <c r="D104" s="154"/>
      <c r="E104" s="154"/>
      <c r="F104" s="154"/>
      <c r="G104" s="154"/>
      <c r="H104" s="154"/>
      <c r="I104" s="154"/>
      <c r="J104" s="154"/>
      <c r="K104" s="154"/>
      <c r="L104" s="154"/>
      <c r="M104" s="154"/>
      <c r="N104" s="154"/>
      <c r="O104" s="154"/>
      <c r="P104" s="154"/>
      <c r="Q104" s="154"/>
      <c r="R104" s="154"/>
      <c r="S104" s="154"/>
      <c r="T104" s="154"/>
      <c r="U104" s="154"/>
      <c r="V104" s="154"/>
    </row>
    <row r="105" spans="1:22">
      <c r="A105" s="154"/>
      <c r="B105" s="154"/>
      <c r="C105" s="154"/>
      <c r="D105" s="154"/>
      <c r="E105" s="154"/>
      <c r="F105" s="154"/>
      <c r="G105" s="154"/>
      <c r="H105" s="154"/>
      <c r="I105" s="154"/>
      <c r="J105" s="154"/>
      <c r="K105" s="154"/>
      <c r="L105" s="154"/>
      <c r="M105" s="154"/>
      <c r="N105" s="154"/>
      <c r="O105" s="154"/>
      <c r="P105" s="154"/>
      <c r="Q105" s="154"/>
      <c r="R105" s="154"/>
      <c r="S105" s="154"/>
      <c r="T105" s="154"/>
      <c r="U105" s="154"/>
      <c r="V105" s="154"/>
    </row>
    <row r="106" spans="1:22">
      <c r="A106" s="154"/>
      <c r="B106" s="154"/>
      <c r="C106" s="154"/>
      <c r="D106" s="154"/>
      <c r="E106" s="154"/>
      <c r="F106" s="154"/>
      <c r="G106" s="154"/>
      <c r="H106" s="154"/>
      <c r="I106" s="154"/>
      <c r="J106" s="154"/>
      <c r="K106" s="154"/>
      <c r="L106" s="154"/>
      <c r="M106" s="154"/>
      <c r="N106" s="154"/>
      <c r="O106" s="154"/>
      <c r="P106" s="154"/>
      <c r="Q106" s="154"/>
      <c r="R106" s="154"/>
      <c r="S106" s="154"/>
      <c r="T106" s="154"/>
      <c r="U106" s="154"/>
      <c r="V106" s="154"/>
    </row>
    <row r="107" spans="1:22">
      <c r="A107" s="154"/>
      <c r="B107" s="154"/>
      <c r="C107" s="154"/>
      <c r="D107" s="154"/>
      <c r="E107" s="154"/>
      <c r="F107" s="154"/>
      <c r="G107" s="154"/>
      <c r="H107" s="154"/>
      <c r="I107" s="154"/>
      <c r="J107" s="154"/>
      <c r="K107" s="154"/>
      <c r="L107" s="154"/>
      <c r="M107" s="154"/>
      <c r="N107" s="154"/>
      <c r="O107" s="154"/>
      <c r="P107" s="154"/>
      <c r="Q107" s="154"/>
      <c r="R107" s="154"/>
      <c r="S107" s="154"/>
      <c r="T107" s="154"/>
      <c r="U107" s="154"/>
      <c r="V107" s="154"/>
    </row>
    <row r="108" spans="1:22">
      <c r="A108" s="154"/>
      <c r="B108" s="154"/>
      <c r="C108" s="154"/>
      <c r="D108" s="154"/>
      <c r="E108" s="154"/>
      <c r="F108" s="154"/>
      <c r="G108" s="154"/>
      <c r="H108" s="154"/>
      <c r="I108" s="154"/>
      <c r="J108" s="154"/>
      <c r="K108" s="154"/>
      <c r="L108" s="154"/>
      <c r="M108" s="154"/>
      <c r="N108" s="154"/>
      <c r="O108" s="154"/>
      <c r="P108" s="154"/>
      <c r="Q108" s="154"/>
      <c r="R108" s="154"/>
      <c r="S108" s="154"/>
      <c r="T108" s="154"/>
      <c r="U108" s="154"/>
      <c r="V108" s="154"/>
    </row>
    <row r="109" spans="1:22">
      <c r="A109" s="154"/>
      <c r="B109" s="154"/>
      <c r="C109" s="154"/>
      <c r="D109" s="154"/>
      <c r="E109" s="154"/>
      <c r="F109" s="154"/>
      <c r="G109" s="154"/>
      <c r="H109" s="154"/>
      <c r="I109" s="154"/>
      <c r="J109" s="154"/>
      <c r="K109" s="154"/>
      <c r="L109" s="154"/>
      <c r="M109" s="154"/>
      <c r="N109" s="154"/>
      <c r="O109" s="154"/>
      <c r="P109" s="154"/>
      <c r="Q109" s="154"/>
      <c r="R109" s="154"/>
      <c r="S109" s="154"/>
      <c r="T109" s="154"/>
      <c r="U109" s="154"/>
      <c r="V109" s="154"/>
    </row>
    <row r="110" spans="1:22">
      <c r="A110" s="154"/>
      <c r="B110" s="154"/>
      <c r="C110" s="154"/>
      <c r="D110" s="154"/>
      <c r="E110" s="154"/>
      <c r="F110" s="154"/>
      <c r="G110" s="154"/>
      <c r="H110" s="154"/>
      <c r="I110" s="154"/>
      <c r="J110" s="154"/>
      <c r="K110" s="154"/>
      <c r="L110" s="154"/>
      <c r="M110" s="154"/>
      <c r="N110" s="154"/>
      <c r="O110" s="154"/>
      <c r="P110" s="154"/>
      <c r="Q110" s="154"/>
      <c r="R110" s="154"/>
      <c r="S110" s="154"/>
      <c r="T110" s="154"/>
      <c r="U110" s="154"/>
      <c r="V110" s="154"/>
    </row>
    <row r="111" spans="1:22">
      <c r="A111" s="154"/>
      <c r="B111" s="154"/>
      <c r="C111" s="154"/>
      <c r="D111" s="154"/>
      <c r="E111" s="154"/>
      <c r="F111" s="154"/>
      <c r="G111" s="154"/>
      <c r="H111" s="154"/>
      <c r="I111" s="154"/>
      <c r="J111" s="154"/>
      <c r="K111" s="154"/>
      <c r="L111" s="154"/>
      <c r="M111" s="154"/>
      <c r="N111" s="154"/>
      <c r="O111" s="154"/>
      <c r="P111" s="154"/>
      <c r="Q111" s="154"/>
      <c r="R111" s="154"/>
      <c r="S111" s="154"/>
      <c r="T111" s="154"/>
      <c r="U111" s="154"/>
      <c r="V111" s="154"/>
    </row>
    <row r="112" spans="1:22">
      <c r="A112" s="154"/>
      <c r="B112" s="154"/>
      <c r="C112" s="154"/>
      <c r="D112" s="154"/>
      <c r="E112" s="154"/>
      <c r="F112" s="154"/>
      <c r="G112" s="154"/>
      <c r="H112" s="154"/>
      <c r="I112" s="154"/>
      <c r="J112" s="154"/>
      <c r="K112" s="154"/>
      <c r="L112" s="154"/>
      <c r="M112" s="154"/>
      <c r="N112" s="154"/>
      <c r="O112" s="154"/>
      <c r="P112" s="154"/>
      <c r="Q112" s="154"/>
      <c r="R112" s="154"/>
      <c r="S112" s="154"/>
      <c r="T112" s="154"/>
      <c r="U112" s="154"/>
      <c r="V112" s="154"/>
    </row>
    <row r="113" spans="1:22">
      <c r="A113" s="154"/>
      <c r="B113" s="154"/>
      <c r="C113" s="154"/>
      <c r="D113" s="154"/>
      <c r="E113" s="154"/>
      <c r="F113" s="154"/>
      <c r="G113" s="154"/>
      <c r="H113" s="154"/>
      <c r="I113" s="154"/>
      <c r="J113" s="154"/>
      <c r="K113" s="154"/>
      <c r="L113" s="154"/>
      <c r="M113" s="154"/>
      <c r="N113" s="154"/>
      <c r="O113" s="154"/>
      <c r="P113" s="154"/>
      <c r="Q113" s="154"/>
      <c r="R113" s="154"/>
      <c r="S113" s="154"/>
      <c r="T113" s="154"/>
      <c r="U113" s="154"/>
      <c r="V113" s="154"/>
    </row>
    <row r="114" spans="1:22">
      <c r="A114" s="154"/>
      <c r="B114" s="154"/>
      <c r="C114" s="154"/>
      <c r="D114" s="154"/>
      <c r="E114" s="154"/>
      <c r="F114" s="154"/>
      <c r="G114" s="154"/>
      <c r="H114" s="154"/>
      <c r="I114" s="154"/>
      <c r="J114" s="154"/>
      <c r="K114" s="154"/>
      <c r="L114" s="154"/>
      <c r="M114" s="154"/>
      <c r="N114" s="154"/>
      <c r="O114" s="154"/>
      <c r="P114" s="154"/>
      <c r="Q114" s="154"/>
      <c r="R114" s="154"/>
      <c r="S114" s="154"/>
      <c r="T114" s="154"/>
      <c r="U114" s="154"/>
      <c r="V114" s="154"/>
    </row>
    <row r="115" spans="1:22">
      <c r="A115" s="154"/>
      <c r="B115" s="154"/>
      <c r="C115" s="154"/>
      <c r="D115" s="154"/>
      <c r="E115" s="154"/>
      <c r="F115" s="154"/>
      <c r="G115" s="154"/>
      <c r="H115" s="154"/>
      <c r="I115" s="154"/>
      <c r="J115" s="154"/>
      <c r="K115" s="154"/>
      <c r="L115" s="154"/>
      <c r="M115" s="154"/>
      <c r="N115" s="154"/>
      <c r="O115" s="154"/>
      <c r="P115" s="154"/>
      <c r="Q115" s="154"/>
      <c r="R115" s="154"/>
      <c r="S115" s="154"/>
      <c r="T115" s="154"/>
      <c r="U115" s="154"/>
      <c r="V115" s="154"/>
    </row>
    <row r="116" spans="1:22">
      <c r="A116" s="154"/>
      <c r="B116" s="154"/>
      <c r="C116" s="154"/>
      <c r="D116" s="154"/>
      <c r="E116" s="154"/>
      <c r="F116" s="154"/>
      <c r="G116" s="154"/>
      <c r="H116" s="154"/>
      <c r="I116" s="154"/>
      <c r="J116" s="154"/>
      <c r="K116" s="154"/>
      <c r="L116" s="154"/>
      <c r="M116" s="154"/>
      <c r="N116" s="154"/>
      <c r="O116" s="154"/>
      <c r="P116" s="154"/>
      <c r="Q116" s="154"/>
      <c r="R116" s="154"/>
      <c r="S116" s="154"/>
      <c r="T116" s="154"/>
      <c r="U116" s="154"/>
      <c r="V116" s="154"/>
    </row>
    <row r="117" spans="1:22">
      <c r="A117" s="154"/>
      <c r="B117" s="154"/>
      <c r="C117" s="154"/>
      <c r="D117" s="154"/>
      <c r="E117" s="154"/>
      <c r="F117" s="154"/>
      <c r="G117" s="154"/>
      <c r="H117" s="154"/>
      <c r="I117" s="154"/>
      <c r="J117" s="154"/>
      <c r="K117" s="154"/>
      <c r="L117" s="154"/>
      <c r="M117" s="154"/>
      <c r="N117" s="154"/>
      <c r="O117" s="154"/>
      <c r="P117" s="154"/>
      <c r="Q117" s="154"/>
      <c r="R117" s="154"/>
      <c r="S117" s="154"/>
      <c r="T117" s="154"/>
      <c r="U117" s="154"/>
      <c r="V117" s="154"/>
    </row>
    <row r="118" spans="1:22">
      <c r="A118" s="154"/>
      <c r="B118" s="154"/>
      <c r="C118" s="154"/>
      <c r="D118" s="154"/>
      <c r="E118" s="154"/>
      <c r="F118" s="154"/>
      <c r="G118" s="154"/>
      <c r="H118" s="154"/>
      <c r="I118" s="154"/>
      <c r="J118" s="154"/>
      <c r="K118" s="154"/>
      <c r="L118" s="154"/>
      <c r="M118" s="154"/>
      <c r="N118" s="154"/>
      <c r="O118" s="154"/>
      <c r="P118" s="154"/>
      <c r="Q118" s="154"/>
      <c r="R118" s="154"/>
      <c r="S118" s="154"/>
      <c r="T118" s="154"/>
      <c r="U118" s="154"/>
      <c r="V118" s="154"/>
    </row>
    <row r="119" spans="1:22">
      <c r="A119" s="154"/>
      <c r="B119" s="154"/>
      <c r="C119" s="154"/>
      <c r="D119" s="154"/>
      <c r="E119" s="154"/>
      <c r="F119" s="154"/>
      <c r="G119" s="154"/>
      <c r="H119" s="154"/>
      <c r="I119" s="154"/>
      <c r="J119" s="154"/>
      <c r="K119" s="154"/>
      <c r="L119" s="154"/>
      <c r="M119" s="154"/>
      <c r="N119" s="154"/>
      <c r="O119" s="154"/>
      <c r="P119" s="154"/>
      <c r="Q119" s="154"/>
      <c r="R119" s="154"/>
      <c r="S119" s="154"/>
      <c r="T119" s="154"/>
      <c r="U119" s="154"/>
      <c r="V119" s="154"/>
    </row>
    <row r="120" spans="1:22">
      <c r="A120" s="154"/>
      <c r="B120" s="154"/>
      <c r="C120" s="154"/>
      <c r="D120" s="154"/>
      <c r="E120" s="154"/>
      <c r="F120" s="154"/>
      <c r="G120" s="154"/>
      <c r="H120" s="154"/>
      <c r="I120" s="154"/>
      <c r="J120" s="154"/>
      <c r="K120" s="154"/>
      <c r="L120" s="154"/>
      <c r="M120" s="154"/>
      <c r="N120" s="154"/>
      <c r="O120" s="154"/>
      <c r="P120" s="154"/>
      <c r="Q120" s="154"/>
      <c r="R120" s="154"/>
      <c r="S120" s="154"/>
      <c r="T120" s="154"/>
      <c r="U120" s="154"/>
      <c r="V120" s="154"/>
    </row>
    <row r="121" spans="1:22">
      <c r="A121" s="154"/>
      <c r="B121" s="154"/>
      <c r="C121" s="154"/>
      <c r="D121" s="154"/>
      <c r="E121" s="154"/>
      <c r="F121" s="154"/>
      <c r="G121" s="154"/>
      <c r="H121" s="154"/>
      <c r="I121" s="154"/>
      <c r="J121" s="154"/>
      <c r="K121" s="154"/>
      <c r="L121" s="154"/>
      <c r="M121" s="154"/>
      <c r="N121" s="154"/>
      <c r="O121" s="154"/>
      <c r="P121" s="154"/>
      <c r="Q121" s="154"/>
      <c r="R121" s="154"/>
      <c r="S121" s="154"/>
      <c r="T121" s="154"/>
      <c r="U121" s="154"/>
      <c r="V121" s="154"/>
    </row>
    <row r="122" spans="1:22">
      <c r="A122" s="154"/>
      <c r="B122" s="154"/>
      <c r="C122" s="154"/>
      <c r="D122" s="154"/>
      <c r="E122" s="154"/>
      <c r="F122" s="154"/>
      <c r="G122" s="154"/>
      <c r="H122" s="154"/>
      <c r="I122" s="154"/>
      <c r="J122" s="154"/>
      <c r="K122" s="154"/>
      <c r="L122" s="154"/>
      <c r="M122" s="154"/>
      <c r="N122" s="154"/>
      <c r="O122" s="154"/>
      <c r="P122" s="154"/>
      <c r="Q122" s="154"/>
      <c r="R122" s="154"/>
      <c r="S122" s="154"/>
      <c r="T122" s="154"/>
      <c r="U122" s="154"/>
      <c r="V122" s="154"/>
    </row>
    <row r="123" spans="1:22">
      <c r="A123" s="154"/>
      <c r="B123" s="154"/>
      <c r="C123" s="154"/>
      <c r="D123" s="154"/>
      <c r="E123" s="154"/>
      <c r="F123" s="154"/>
      <c r="G123" s="154"/>
      <c r="H123" s="154"/>
      <c r="I123" s="154"/>
      <c r="J123" s="154"/>
      <c r="K123" s="154"/>
      <c r="L123" s="154"/>
      <c r="M123" s="154"/>
      <c r="N123" s="154"/>
      <c r="O123" s="154"/>
      <c r="P123" s="154"/>
      <c r="Q123" s="154"/>
      <c r="R123" s="154"/>
      <c r="S123" s="154"/>
      <c r="T123" s="154"/>
      <c r="U123" s="154"/>
      <c r="V123" s="154"/>
    </row>
    <row r="124" spans="1:22">
      <c r="A124" s="154"/>
      <c r="B124" s="154"/>
      <c r="C124" s="154"/>
      <c r="D124" s="154"/>
      <c r="E124" s="154"/>
      <c r="F124" s="154"/>
      <c r="G124" s="154"/>
      <c r="H124" s="154"/>
      <c r="I124" s="154"/>
      <c r="J124" s="154"/>
      <c r="K124" s="154"/>
      <c r="L124" s="154"/>
      <c r="M124" s="154"/>
      <c r="N124" s="154"/>
      <c r="O124" s="154"/>
      <c r="P124" s="154"/>
      <c r="Q124" s="154"/>
      <c r="R124" s="154"/>
      <c r="S124" s="154"/>
      <c r="T124" s="154"/>
      <c r="U124" s="154"/>
      <c r="V124" s="154"/>
    </row>
    <row r="125" spans="1:22">
      <c r="A125" s="154"/>
      <c r="B125" s="154"/>
      <c r="C125" s="154"/>
      <c r="D125" s="154"/>
      <c r="E125" s="154"/>
      <c r="F125" s="154"/>
      <c r="G125" s="154"/>
      <c r="H125" s="154"/>
      <c r="I125" s="154"/>
      <c r="J125" s="154"/>
      <c r="K125" s="154"/>
      <c r="L125" s="154"/>
      <c r="M125" s="154"/>
      <c r="N125" s="154"/>
      <c r="O125" s="154"/>
      <c r="P125" s="154"/>
      <c r="Q125" s="154"/>
      <c r="R125" s="154"/>
      <c r="S125" s="154"/>
      <c r="T125" s="154"/>
      <c r="U125" s="154"/>
      <c r="V125" s="154"/>
    </row>
    <row r="126" spans="1:22">
      <c r="A126" s="154"/>
      <c r="B126" s="154"/>
      <c r="C126" s="154"/>
      <c r="D126" s="154"/>
      <c r="E126" s="154"/>
      <c r="F126" s="154"/>
      <c r="G126" s="154"/>
      <c r="H126" s="154"/>
      <c r="I126" s="154"/>
      <c r="J126" s="154"/>
      <c r="K126" s="154"/>
      <c r="L126" s="154"/>
      <c r="M126" s="154"/>
      <c r="N126" s="154"/>
      <c r="O126" s="154"/>
      <c r="P126" s="154"/>
      <c r="Q126" s="154"/>
      <c r="R126" s="154"/>
      <c r="S126" s="154"/>
      <c r="T126" s="154"/>
      <c r="U126" s="154"/>
      <c r="V126" s="154"/>
    </row>
    <row r="127" spans="1:22">
      <c r="A127" s="154"/>
      <c r="B127" s="154"/>
      <c r="C127" s="154"/>
      <c r="D127" s="154"/>
      <c r="E127" s="154"/>
      <c r="F127" s="154"/>
      <c r="G127" s="154"/>
      <c r="H127" s="154"/>
      <c r="I127" s="154"/>
      <c r="J127" s="154"/>
      <c r="K127" s="154"/>
      <c r="L127" s="154"/>
      <c r="M127" s="154"/>
      <c r="N127" s="154"/>
      <c r="O127" s="154"/>
      <c r="P127" s="154"/>
      <c r="Q127" s="154"/>
      <c r="R127" s="154"/>
      <c r="S127" s="154"/>
      <c r="T127" s="154"/>
      <c r="U127" s="154"/>
      <c r="V127" s="154"/>
    </row>
    <row r="128" spans="1:22">
      <c r="A128" s="154"/>
      <c r="B128" s="154"/>
      <c r="C128" s="154"/>
      <c r="D128" s="154"/>
      <c r="E128" s="154"/>
      <c r="F128" s="154"/>
      <c r="G128" s="154"/>
      <c r="H128" s="154"/>
      <c r="I128" s="154"/>
      <c r="J128" s="154"/>
      <c r="K128" s="154"/>
      <c r="L128" s="154"/>
      <c r="M128" s="154"/>
      <c r="N128" s="154"/>
      <c r="O128" s="154"/>
      <c r="P128" s="154"/>
      <c r="Q128" s="154"/>
      <c r="R128" s="154"/>
      <c r="S128" s="154"/>
      <c r="T128" s="154"/>
      <c r="U128" s="154"/>
      <c r="V128" s="154"/>
    </row>
    <row r="129" spans="1:22">
      <c r="A129" s="154"/>
      <c r="B129" s="154"/>
      <c r="C129" s="154"/>
      <c r="D129" s="154"/>
      <c r="E129" s="154"/>
      <c r="F129" s="154"/>
      <c r="G129" s="154"/>
      <c r="H129" s="154"/>
      <c r="I129" s="154"/>
      <c r="J129" s="154"/>
      <c r="K129" s="154"/>
      <c r="L129" s="154"/>
      <c r="M129" s="154"/>
      <c r="N129" s="154"/>
      <c r="O129" s="154"/>
      <c r="P129" s="154"/>
      <c r="Q129" s="154"/>
      <c r="R129" s="154"/>
      <c r="S129" s="154"/>
      <c r="T129" s="154"/>
      <c r="U129" s="154"/>
      <c r="V129" s="154"/>
    </row>
    <row r="130" spans="1:22">
      <c r="A130" s="154"/>
      <c r="B130" s="154"/>
      <c r="C130" s="154"/>
      <c r="D130" s="154"/>
      <c r="E130" s="154"/>
      <c r="F130" s="154"/>
      <c r="G130" s="154"/>
      <c r="H130" s="154"/>
      <c r="I130" s="154"/>
      <c r="J130" s="154"/>
      <c r="K130" s="154"/>
      <c r="L130" s="154"/>
      <c r="M130" s="154"/>
      <c r="N130" s="154"/>
      <c r="O130" s="154"/>
      <c r="P130" s="154"/>
      <c r="Q130" s="154"/>
      <c r="R130" s="154"/>
      <c r="S130" s="154"/>
      <c r="T130" s="154"/>
      <c r="U130" s="154"/>
      <c r="V130" s="154"/>
    </row>
    <row r="131" spans="1:22">
      <c r="A131" s="154"/>
      <c r="B131" s="154"/>
      <c r="C131" s="154"/>
      <c r="D131" s="154"/>
      <c r="E131" s="154"/>
      <c r="F131" s="154"/>
      <c r="G131" s="154"/>
      <c r="H131" s="154"/>
      <c r="I131" s="154"/>
      <c r="J131" s="154"/>
      <c r="K131" s="154"/>
      <c r="L131" s="154"/>
      <c r="M131" s="154"/>
      <c r="N131" s="154"/>
      <c r="O131" s="154"/>
      <c r="P131" s="154"/>
      <c r="Q131" s="154"/>
      <c r="R131" s="154"/>
      <c r="S131" s="154"/>
      <c r="T131" s="154"/>
      <c r="U131" s="154"/>
      <c r="V131" s="154"/>
    </row>
    <row r="132" spans="1:22">
      <c r="A132" s="154"/>
      <c r="B132" s="154"/>
      <c r="C132" s="154"/>
      <c r="D132" s="154"/>
      <c r="E132" s="154"/>
      <c r="F132" s="154"/>
      <c r="G132" s="154"/>
      <c r="H132" s="154"/>
      <c r="I132" s="154"/>
      <c r="J132" s="154"/>
      <c r="K132" s="154"/>
      <c r="L132" s="154"/>
      <c r="M132" s="154"/>
      <c r="N132" s="154"/>
      <c r="O132" s="154"/>
      <c r="P132" s="154"/>
      <c r="Q132" s="154"/>
      <c r="R132" s="154"/>
      <c r="S132" s="154"/>
      <c r="T132" s="154"/>
      <c r="U132" s="154"/>
      <c r="V132" s="154"/>
    </row>
    <row r="133" spans="1:22">
      <c r="A133" s="154"/>
      <c r="B133" s="154"/>
      <c r="C133" s="154"/>
      <c r="D133" s="154"/>
      <c r="E133" s="154"/>
      <c r="F133" s="154"/>
      <c r="G133" s="154"/>
      <c r="H133" s="154"/>
      <c r="I133" s="154"/>
      <c r="J133" s="154"/>
      <c r="K133" s="154"/>
      <c r="L133" s="154"/>
      <c r="M133" s="154"/>
      <c r="N133" s="154"/>
      <c r="O133" s="154"/>
      <c r="P133" s="154"/>
      <c r="Q133" s="154"/>
      <c r="R133" s="154"/>
      <c r="S133" s="154"/>
      <c r="T133" s="154"/>
      <c r="U133" s="154"/>
      <c r="V133" s="154"/>
    </row>
    <row r="134" spans="1:22">
      <c r="A134" s="154"/>
      <c r="B134" s="154"/>
      <c r="C134" s="154"/>
      <c r="D134" s="154"/>
      <c r="E134" s="154"/>
      <c r="F134" s="154"/>
      <c r="G134" s="154"/>
      <c r="H134" s="154"/>
      <c r="I134" s="154"/>
      <c r="J134" s="154"/>
      <c r="K134" s="154"/>
      <c r="L134" s="154"/>
      <c r="M134" s="154"/>
      <c r="N134" s="154"/>
      <c r="O134" s="154"/>
      <c r="P134" s="154"/>
      <c r="Q134" s="154"/>
      <c r="R134" s="154"/>
      <c r="S134" s="154"/>
      <c r="T134" s="154"/>
      <c r="U134" s="154"/>
      <c r="V134" s="154"/>
    </row>
    <row r="135" spans="1:22">
      <c r="A135" s="154"/>
      <c r="B135" s="154"/>
      <c r="C135" s="154"/>
      <c r="D135" s="154"/>
      <c r="E135" s="154"/>
      <c r="F135" s="154"/>
      <c r="G135" s="154"/>
      <c r="H135" s="154"/>
      <c r="I135" s="154"/>
      <c r="J135" s="154"/>
      <c r="K135" s="154"/>
      <c r="L135" s="154"/>
      <c r="M135" s="154"/>
      <c r="N135" s="154"/>
      <c r="O135" s="154"/>
      <c r="P135" s="154"/>
      <c r="Q135" s="154"/>
      <c r="R135" s="154"/>
      <c r="S135" s="154"/>
      <c r="T135" s="154"/>
      <c r="U135" s="154"/>
      <c r="V135" s="154"/>
    </row>
    <row r="136" spans="1:22">
      <c r="A136" s="154"/>
      <c r="B136" s="154"/>
      <c r="C136" s="154"/>
      <c r="D136" s="154"/>
      <c r="E136" s="154"/>
      <c r="F136" s="154"/>
      <c r="G136" s="154"/>
      <c r="H136" s="154"/>
      <c r="I136" s="154"/>
      <c r="J136" s="154"/>
      <c r="K136" s="154"/>
      <c r="L136" s="154"/>
      <c r="M136" s="154"/>
      <c r="N136" s="154"/>
      <c r="O136" s="154"/>
      <c r="P136" s="154"/>
      <c r="Q136" s="154"/>
      <c r="R136" s="154"/>
      <c r="S136" s="154"/>
      <c r="T136" s="154"/>
      <c r="U136" s="154"/>
      <c r="V136" s="154"/>
    </row>
    <row r="137" spans="1:22">
      <c r="A137" s="154"/>
      <c r="B137" s="154"/>
      <c r="C137" s="154"/>
      <c r="D137" s="154"/>
      <c r="E137" s="154"/>
      <c r="F137" s="154"/>
      <c r="G137" s="154"/>
      <c r="H137" s="154"/>
      <c r="I137" s="154"/>
      <c r="J137" s="154"/>
      <c r="K137" s="154"/>
      <c r="L137" s="154"/>
      <c r="M137" s="154"/>
      <c r="N137" s="154"/>
      <c r="O137" s="154"/>
      <c r="P137" s="154"/>
      <c r="Q137" s="154"/>
      <c r="R137" s="154"/>
      <c r="S137" s="154"/>
      <c r="T137" s="154"/>
      <c r="U137" s="154"/>
      <c r="V137" s="154"/>
    </row>
    <row r="138" spans="1:22">
      <c r="A138" s="154"/>
      <c r="B138" s="154"/>
      <c r="C138" s="154"/>
      <c r="D138" s="154"/>
      <c r="E138" s="154"/>
      <c r="F138" s="154"/>
      <c r="G138" s="154"/>
      <c r="H138" s="154"/>
      <c r="I138" s="154"/>
      <c r="J138" s="154"/>
      <c r="K138" s="154"/>
      <c r="L138" s="154"/>
      <c r="M138" s="154"/>
      <c r="N138" s="154"/>
      <c r="O138" s="154"/>
      <c r="P138" s="154"/>
      <c r="Q138" s="154"/>
      <c r="R138" s="154"/>
      <c r="S138" s="154"/>
      <c r="T138" s="154"/>
      <c r="U138" s="154"/>
      <c r="V138" s="154"/>
    </row>
    <row r="139" spans="1:22">
      <c r="A139" s="154"/>
      <c r="B139" s="154"/>
      <c r="C139" s="154"/>
      <c r="D139" s="154"/>
      <c r="E139" s="154"/>
      <c r="F139" s="154"/>
      <c r="G139" s="154"/>
      <c r="H139" s="154"/>
      <c r="I139" s="154"/>
      <c r="J139" s="154"/>
      <c r="K139" s="154"/>
      <c r="L139" s="154"/>
      <c r="M139" s="154"/>
      <c r="N139" s="154"/>
      <c r="O139" s="154"/>
      <c r="P139" s="154"/>
      <c r="Q139" s="154"/>
      <c r="R139" s="154"/>
      <c r="S139" s="154"/>
      <c r="T139" s="154"/>
      <c r="U139" s="154"/>
      <c r="V139" s="154"/>
    </row>
    <row r="140" spans="1:22">
      <c r="A140" s="154"/>
      <c r="B140" s="154"/>
      <c r="C140" s="154"/>
      <c r="D140" s="154"/>
      <c r="E140" s="154"/>
      <c r="F140" s="154"/>
      <c r="G140" s="154"/>
      <c r="H140" s="154"/>
      <c r="I140" s="154"/>
      <c r="J140" s="154"/>
      <c r="K140" s="154"/>
      <c r="L140" s="154"/>
      <c r="M140" s="154"/>
      <c r="N140" s="154"/>
      <c r="O140" s="154"/>
      <c r="P140" s="154"/>
      <c r="Q140" s="154"/>
      <c r="R140" s="154"/>
      <c r="S140" s="154"/>
      <c r="T140" s="154"/>
      <c r="U140" s="154"/>
      <c r="V140" s="154"/>
    </row>
    <row r="141" spans="1:22">
      <c r="A141" s="154"/>
      <c r="B141" s="154"/>
      <c r="C141" s="154"/>
      <c r="D141" s="154"/>
      <c r="E141" s="154"/>
      <c r="F141" s="154"/>
      <c r="G141" s="154"/>
      <c r="H141" s="154"/>
      <c r="I141" s="154"/>
      <c r="J141" s="154"/>
      <c r="K141" s="154"/>
      <c r="L141" s="154"/>
      <c r="M141" s="154"/>
      <c r="N141" s="154"/>
      <c r="O141" s="154"/>
      <c r="P141" s="154"/>
      <c r="Q141" s="154"/>
      <c r="R141" s="154"/>
      <c r="S141" s="154"/>
      <c r="T141" s="154"/>
      <c r="U141" s="154"/>
      <c r="V141" s="154"/>
    </row>
    <row r="142" spans="1:22">
      <c r="A142" s="154"/>
      <c r="B142" s="154"/>
      <c r="C142" s="154"/>
      <c r="D142" s="154"/>
      <c r="E142" s="154"/>
      <c r="F142" s="154"/>
      <c r="G142" s="154"/>
      <c r="H142" s="154"/>
      <c r="I142" s="154"/>
      <c r="J142" s="154"/>
      <c r="K142" s="154"/>
      <c r="L142" s="154"/>
      <c r="M142" s="154"/>
      <c r="N142" s="154"/>
      <c r="O142" s="154"/>
      <c r="P142" s="154"/>
      <c r="Q142" s="154"/>
      <c r="R142" s="154"/>
      <c r="S142" s="154"/>
      <c r="T142" s="154"/>
      <c r="U142" s="154"/>
      <c r="V142" s="154"/>
    </row>
    <row r="143" spans="1:22">
      <c r="A143" s="154"/>
      <c r="B143" s="154"/>
      <c r="C143" s="154"/>
      <c r="D143" s="154"/>
      <c r="E143" s="154"/>
      <c r="F143" s="154"/>
      <c r="G143" s="154"/>
      <c r="H143" s="154"/>
      <c r="I143" s="154"/>
      <c r="J143" s="154"/>
      <c r="K143" s="154"/>
      <c r="L143" s="154"/>
      <c r="M143" s="154"/>
      <c r="N143" s="154"/>
      <c r="O143" s="154"/>
      <c r="P143" s="154"/>
      <c r="Q143" s="154"/>
      <c r="R143" s="154"/>
      <c r="S143" s="154"/>
      <c r="T143" s="154"/>
      <c r="U143" s="154"/>
      <c r="V143" s="154"/>
    </row>
    <row r="144" spans="1:22">
      <c r="A144" s="154"/>
      <c r="B144" s="154"/>
      <c r="C144" s="154"/>
      <c r="D144" s="154"/>
      <c r="E144" s="154"/>
      <c r="F144" s="154"/>
      <c r="G144" s="154"/>
      <c r="H144" s="154"/>
      <c r="I144" s="154"/>
      <c r="J144" s="154"/>
      <c r="K144" s="154"/>
      <c r="L144" s="154"/>
      <c r="M144" s="154"/>
      <c r="N144" s="154"/>
      <c r="O144" s="154"/>
      <c r="P144" s="154"/>
      <c r="Q144" s="154"/>
      <c r="R144" s="154"/>
      <c r="S144" s="154"/>
      <c r="T144" s="154"/>
      <c r="U144" s="154"/>
      <c r="V144" s="154"/>
    </row>
    <row r="145" spans="1:22">
      <c r="A145" s="154"/>
      <c r="B145" s="154"/>
      <c r="C145" s="154"/>
      <c r="D145" s="154"/>
      <c r="E145" s="154"/>
      <c r="F145" s="154"/>
      <c r="G145" s="154"/>
      <c r="H145" s="154"/>
      <c r="I145" s="154"/>
      <c r="J145" s="154"/>
      <c r="K145" s="154"/>
      <c r="L145" s="154"/>
      <c r="M145" s="154"/>
      <c r="N145" s="154"/>
      <c r="O145" s="154"/>
      <c r="P145" s="154"/>
      <c r="Q145" s="154"/>
      <c r="R145" s="154"/>
      <c r="S145" s="154"/>
      <c r="T145" s="154"/>
      <c r="U145" s="154"/>
      <c r="V145" s="154"/>
    </row>
    <row r="146" spans="1:22">
      <c r="A146" s="154"/>
      <c r="B146" s="154"/>
      <c r="C146" s="154"/>
      <c r="D146" s="154"/>
      <c r="E146" s="154"/>
      <c r="F146" s="154"/>
      <c r="G146" s="154"/>
      <c r="H146" s="154"/>
      <c r="I146" s="154"/>
      <c r="J146" s="154"/>
      <c r="K146" s="154"/>
      <c r="L146" s="154"/>
      <c r="M146" s="154"/>
      <c r="N146" s="154"/>
      <c r="O146" s="154"/>
      <c r="P146" s="154"/>
      <c r="Q146" s="154"/>
      <c r="R146" s="154"/>
      <c r="S146" s="154"/>
      <c r="T146" s="154"/>
      <c r="U146" s="154"/>
      <c r="V146" s="154"/>
    </row>
    <row r="147" spans="1:22">
      <c r="A147" s="154"/>
      <c r="B147" s="154"/>
      <c r="C147" s="154"/>
      <c r="D147" s="154"/>
      <c r="E147" s="154"/>
      <c r="F147" s="154"/>
      <c r="G147" s="154"/>
      <c r="H147" s="154"/>
      <c r="I147" s="154"/>
      <c r="J147" s="154"/>
      <c r="K147" s="154"/>
      <c r="L147" s="154"/>
      <c r="M147" s="154"/>
      <c r="N147" s="154"/>
      <c r="O147" s="154"/>
      <c r="P147" s="154"/>
      <c r="Q147" s="154"/>
      <c r="R147" s="154"/>
      <c r="S147" s="154"/>
      <c r="T147" s="154"/>
      <c r="U147" s="154"/>
      <c r="V147" s="154"/>
    </row>
    <row r="148" spans="1:22">
      <c r="A148" s="154"/>
      <c r="B148" s="154"/>
      <c r="C148" s="154"/>
      <c r="D148" s="154"/>
      <c r="E148" s="154"/>
      <c r="F148" s="154"/>
      <c r="G148" s="154"/>
      <c r="H148" s="154"/>
      <c r="I148" s="154"/>
      <c r="J148" s="154"/>
      <c r="K148" s="154"/>
      <c r="L148" s="154"/>
      <c r="M148" s="154"/>
      <c r="N148" s="154"/>
      <c r="O148" s="154"/>
      <c r="P148" s="154"/>
      <c r="Q148" s="154"/>
      <c r="R148" s="154"/>
      <c r="S148" s="154"/>
      <c r="T148" s="154"/>
      <c r="U148" s="154"/>
      <c r="V148" s="154"/>
    </row>
    <row r="149" spans="1:22">
      <c r="A149" s="154"/>
      <c r="B149" s="154"/>
      <c r="C149" s="154"/>
      <c r="D149" s="154"/>
      <c r="E149" s="154"/>
      <c r="F149" s="154"/>
      <c r="G149" s="154"/>
      <c r="H149" s="154"/>
      <c r="I149" s="154"/>
      <c r="J149" s="154"/>
      <c r="K149" s="154"/>
      <c r="L149" s="154"/>
      <c r="M149" s="154"/>
      <c r="N149" s="154"/>
      <c r="O149" s="154"/>
      <c r="P149" s="154"/>
      <c r="Q149" s="154"/>
      <c r="R149" s="154"/>
      <c r="S149" s="154"/>
      <c r="T149" s="154"/>
      <c r="U149" s="154"/>
      <c r="V149" s="154"/>
    </row>
    <row r="150" spans="1:22">
      <c r="A150" s="154"/>
      <c r="B150" s="154"/>
      <c r="C150" s="154"/>
      <c r="D150" s="154"/>
      <c r="E150" s="154"/>
      <c r="F150" s="154"/>
      <c r="G150" s="154"/>
      <c r="H150" s="154"/>
      <c r="I150" s="154"/>
      <c r="J150" s="154"/>
      <c r="K150" s="154"/>
      <c r="L150" s="154"/>
      <c r="M150" s="154"/>
      <c r="N150" s="154"/>
      <c r="O150" s="154"/>
      <c r="P150" s="154"/>
      <c r="Q150" s="154"/>
      <c r="R150" s="154"/>
      <c r="S150" s="154"/>
      <c r="T150" s="154"/>
      <c r="U150" s="154"/>
      <c r="V150" s="154"/>
    </row>
    <row r="151" spans="1:22">
      <c r="A151" s="154"/>
      <c r="B151" s="154"/>
      <c r="C151" s="154"/>
      <c r="D151" s="154"/>
      <c r="E151" s="154"/>
      <c r="F151" s="154"/>
      <c r="G151" s="154"/>
      <c r="H151" s="154"/>
      <c r="I151" s="154"/>
      <c r="J151" s="154"/>
      <c r="K151" s="154"/>
      <c r="L151" s="154"/>
      <c r="M151" s="154"/>
      <c r="N151" s="154"/>
      <c r="O151" s="154"/>
      <c r="P151" s="154"/>
      <c r="Q151" s="154"/>
      <c r="R151" s="154"/>
      <c r="S151" s="154"/>
      <c r="T151" s="154"/>
      <c r="U151" s="154"/>
      <c r="V151" s="154"/>
    </row>
    <row r="152" spans="1:22">
      <c r="A152" s="154"/>
      <c r="B152" s="154"/>
      <c r="C152" s="154"/>
      <c r="D152" s="154"/>
      <c r="E152" s="154"/>
      <c r="F152" s="154"/>
      <c r="G152" s="154"/>
      <c r="H152" s="154"/>
      <c r="I152" s="154"/>
      <c r="J152" s="154"/>
      <c r="K152" s="154"/>
      <c r="L152" s="154"/>
      <c r="M152" s="154"/>
      <c r="N152" s="154"/>
      <c r="O152" s="154"/>
      <c r="P152" s="154"/>
      <c r="Q152" s="154"/>
      <c r="R152" s="154"/>
      <c r="S152" s="154"/>
      <c r="T152" s="154"/>
      <c r="U152" s="154"/>
      <c r="V152" s="154"/>
    </row>
    <row r="153" spans="1:22">
      <c r="A153" s="154"/>
      <c r="B153" s="154"/>
      <c r="C153" s="154"/>
      <c r="D153" s="154"/>
      <c r="E153" s="154"/>
      <c r="F153" s="154"/>
      <c r="G153" s="154"/>
      <c r="H153" s="154"/>
      <c r="I153" s="154"/>
      <c r="J153" s="154"/>
      <c r="K153" s="154"/>
      <c r="L153" s="154"/>
      <c r="M153" s="154"/>
      <c r="N153" s="154"/>
      <c r="O153" s="154"/>
      <c r="P153" s="154"/>
      <c r="Q153" s="154"/>
      <c r="R153" s="154"/>
      <c r="S153" s="154"/>
      <c r="T153" s="154"/>
      <c r="U153" s="154"/>
      <c r="V153" s="154"/>
    </row>
    <row r="154" spans="1:22">
      <c r="A154" s="154"/>
      <c r="B154" s="154"/>
      <c r="C154" s="154"/>
      <c r="D154" s="154"/>
      <c r="E154" s="154"/>
      <c r="F154" s="154"/>
      <c r="G154" s="154"/>
      <c r="H154" s="154"/>
      <c r="I154" s="154"/>
      <c r="J154" s="154"/>
      <c r="K154" s="154"/>
      <c r="L154" s="154"/>
      <c r="M154" s="154"/>
      <c r="N154" s="154"/>
      <c r="O154" s="154"/>
      <c r="P154" s="154"/>
      <c r="Q154" s="154"/>
      <c r="R154" s="154"/>
      <c r="S154" s="154"/>
      <c r="T154" s="154"/>
      <c r="U154" s="154"/>
      <c r="V154" s="154"/>
    </row>
    <row r="155" spans="1:22">
      <c r="A155" s="154"/>
      <c r="B155" s="154"/>
      <c r="C155" s="154"/>
      <c r="D155" s="154"/>
      <c r="E155" s="154"/>
      <c r="F155" s="154"/>
      <c r="G155" s="154"/>
      <c r="H155" s="154"/>
      <c r="I155" s="154"/>
      <c r="J155" s="154"/>
      <c r="K155" s="154"/>
      <c r="L155" s="154"/>
      <c r="M155" s="154"/>
      <c r="N155" s="154"/>
      <c r="O155" s="154"/>
      <c r="P155" s="154"/>
      <c r="Q155" s="154"/>
      <c r="R155" s="154"/>
      <c r="S155" s="154"/>
      <c r="T155" s="154"/>
      <c r="U155" s="154"/>
      <c r="V155" s="154"/>
    </row>
    <row r="156" spans="1:22">
      <c r="A156" s="154"/>
      <c r="B156" s="154"/>
      <c r="C156" s="154"/>
      <c r="D156" s="154"/>
      <c r="E156" s="154"/>
      <c r="F156" s="154"/>
      <c r="G156" s="154"/>
      <c r="H156" s="154"/>
      <c r="I156" s="154"/>
      <c r="J156" s="154"/>
      <c r="K156" s="154"/>
      <c r="L156" s="154"/>
      <c r="M156" s="154"/>
      <c r="N156" s="154"/>
      <c r="O156" s="154"/>
      <c r="P156" s="154"/>
      <c r="Q156" s="154"/>
      <c r="R156" s="154"/>
      <c r="S156" s="154"/>
      <c r="T156" s="154"/>
      <c r="U156" s="154"/>
      <c r="V156" s="154"/>
    </row>
    <row r="157" spans="1:22">
      <c r="A157" s="154"/>
      <c r="B157" s="154"/>
      <c r="C157" s="154"/>
      <c r="D157" s="154"/>
      <c r="E157" s="154"/>
      <c r="F157" s="154"/>
      <c r="G157" s="154"/>
      <c r="H157" s="154"/>
      <c r="I157" s="154"/>
      <c r="J157" s="154"/>
      <c r="K157" s="154"/>
      <c r="L157" s="154"/>
      <c r="M157" s="154"/>
      <c r="N157" s="154"/>
      <c r="O157" s="154"/>
      <c r="P157" s="154"/>
      <c r="Q157" s="154"/>
      <c r="R157" s="154"/>
      <c r="S157" s="154"/>
      <c r="T157" s="154"/>
      <c r="U157" s="154"/>
      <c r="V157" s="154"/>
    </row>
    <row r="158" spans="1:22">
      <c r="A158" s="154"/>
      <c r="B158" s="154"/>
      <c r="C158" s="154"/>
      <c r="D158" s="154"/>
      <c r="E158" s="154"/>
      <c r="F158" s="154"/>
      <c r="G158" s="154"/>
      <c r="H158" s="154"/>
      <c r="I158" s="154"/>
      <c r="J158" s="154"/>
      <c r="K158" s="154"/>
      <c r="L158" s="154"/>
      <c r="M158" s="154"/>
      <c r="N158" s="154"/>
      <c r="O158" s="154"/>
      <c r="P158" s="154"/>
      <c r="Q158" s="154"/>
      <c r="R158" s="154"/>
      <c r="S158" s="154"/>
      <c r="T158" s="154"/>
      <c r="U158" s="154"/>
      <c r="V158" s="154"/>
    </row>
    <row r="159" spans="1:22">
      <c r="A159" s="154"/>
      <c r="B159" s="154"/>
      <c r="C159" s="154"/>
      <c r="D159" s="154"/>
      <c r="E159" s="154"/>
      <c r="F159" s="154"/>
      <c r="G159" s="154"/>
      <c r="H159" s="154"/>
      <c r="I159" s="154"/>
      <c r="J159" s="154"/>
      <c r="K159" s="154"/>
      <c r="L159" s="154"/>
      <c r="M159" s="154"/>
      <c r="N159" s="154"/>
      <c r="O159" s="154"/>
      <c r="P159" s="154"/>
      <c r="Q159" s="154"/>
      <c r="R159" s="154"/>
      <c r="S159" s="154"/>
      <c r="T159" s="154"/>
      <c r="U159" s="154"/>
      <c r="V159" s="154"/>
    </row>
    <row r="160" spans="1:22">
      <c r="A160" s="154"/>
      <c r="B160" s="154"/>
      <c r="C160" s="154"/>
      <c r="D160" s="154"/>
      <c r="E160" s="154"/>
      <c r="F160" s="154"/>
      <c r="G160" s="154"/>
      <c r="H160" s="154"/>
      <c r="I160" s="154"/>
      <c r="J160" s="154"/>
      <c r="K160" s="154"/>
      <c r="L160" s="154"/>
      <c r="M160" s="154"/>
      <c r="N160" s="154"/>
      <c r="O160" s="154"/>
      <c r="P160" s="154"/>
      <c r="Q160" s="154"/>
      <c r="R160" s="154"/>
      <c r="S160" s="154"/>
      <c r="T160" s="154"/>
      <c r="U160" s="154"/>
      <c r="V160" s="154"/>
    </row>
    <row r="161" spans="1:22">
      <c r="A161" s="154"/>
      <c r="B161" s="154"/>
      <c r="C161" s="154"/>
      <c r="D161" s="154"/>
      <c r="E161" s="154"/>
      <c r="F161" s="154"/>
      <c r="G161" s="154"/>
      <c r="H161" s="154"/>
      <c r="I161" s="154"/>
      <c r="J161" s="154"/>
      <c r="K161" s="154"/>
      <c r="L161" s="154"/>
      <c r="M161" s="154"/>
      <c r="N161" s="154"/>
      <c r="O161" s="154"/>
      <c r="P161" s="154"/>
      <c r="Q161" s="154"/>
      <c r="R161" s="154"/>
      <c r="S161" s="154"/>
      <c r="T161" s="154"/>
      <c r="U161" s="154"/>
      <c r="V161" s="154"/>
    </row>
    <row r="162" spans="1:22">
      <c r="A162" s="154"/>
      <c r="B162" s="154"/>
      <c r="C162" s="154"/>
      <c r="D162" s="154"/>
      <c r="E162" s="154"/>
      <c r="F162" s="154"/>
      <c r="G162" s="154"/>
      <c r="H162" s="154"/>
      <c r="I162" s="154"/>
      <c r="J162" s="154"/>
      <c r="K162" s="154"/>
      <c r="L162" s="154"/>
      <c r="M162" s="154"/>
      <c r="N162" s="154"/>
      <c r="O162" s="154"/>
      <c r="P162" s="154"/>
      <c r="Q162" s="154"/>
      <c r="R162" s="154"/>
      <c r="S162" s="154"/>
      <c r="T162" s="154"/>
      <c r="U162" s="154"/>
      <c r="V162" s="154"/>
    </row>
    <row r="163" spans="1:22">
      <c r="A163" s="154"/>
      <c r="B163" s="154"/>
      <c r="C163" s="154"/>
      <c r="D163" s="154"/>
      <c r="E163" s="154"/>
      <c r="F163" s="154"/>
      <c r="G163" s="154"/>
      <c r="H163" s="154"/>
      <c r="I163" s="154"/>
      <c r="J163" s="154"/>
      <c r="K163" s="154"/>
      <c r="L163" s="154"/>
      <c r="M163" s="154"/>
      <c r="N163" s="154"/>
      <c r="O163" s="154"/>
      <c r="P163" s="154"/>
      <c r="Q163" s="154"/>
      <c r="R163" s="154"/>
      <c r="S163" s="154"/>
      <c r="T163" s="154"/>
      <c r="U163" s="154"/>
      <c r="V163" s="154"/>
    </row>
    <row r="164" spans="1:22">
      <c r="A164" s="154"/>
      <c r="B164" s="154"/>
      <c r="C164" s="154"/>
      <c r="D164" s="154"/>
      <c r="E164" s="154"/>
      <c r="F164" s="154"/>
      <c r="G164" s="154"/>
      <c r="H164" s="154"/>
      <c r="I164" s="154"/>
      <c r="J164" s="154"/>
      <c r="K164" s="154"/>
      <c r="L164" s="154"/>
      <c r="M164" s="154"/>
      <c r="N164" s="154"/>
      <c r="O164" s="154"/>
      <c r="P164" s="154"/>
      <c r="Q164" s="154"/>
      <c r="R164" s="154"/>
      <c r="S164" s="154"/>
      <c r="T164" s="154"/>
      <c r="U164" s="154"/>
      <c r="V164" s="154"/>
    </row>
    <row r="165" spans="1:22">
      <c r="A165" s="154"/>
      <c r="B165" s="154"/>
      <c r="C165" s="154"/>
      <c r="D165" s="154"/>
      <c r="E165" s="154"/>
      <c r="F165" s="154"/>
      <c r="G165" s="154"/>
      <c r="H165" s="154"/>
      <c r="I165" s="154"/>
      <c r="J165" s="154"/>
      <c r="K165" s="154"/>
      <c r="L165" s="154"/>
      <c r="M165" s="154"/>
      <c r="N165" s="154"/>
      <c r="O165" s="154"/>
      <c r="P165" s="154"/>
      <c r="Q165" s="154"/>
      <c r="R165" s="154"/>
      <c r="S165" s="154"/>
      <c r="T165" s="154"/>
      <c r="U165" s="154"/>
      <c r="V165" s="154"/>
    </row>
    <row r="166" spans="1:22">
      <c r="A166" s="154"/>
      <c r="B166" s="154"/>
      <c r="C166" s="154"/>
      <c r="D166" s="154"/>
      <c r="E166" s="154"/>
      <c r="F166" s="154"/>
      <c r="G166" s="154"/>
      <c r="H166" s="154"/>
      <c r="I166" s="154"/>
      <c r="J166" s="154"/>
      <c r="K166" s="154"/>
      <c r="L166" s="154"/>
      <c r="M166" s="154"/>
      <c r="N166" s="154"/>
      <c r="O166" s="154"/>
      <c r="P166" s="154"/>
      <c r="Q166" s="154"/>
      <c r="R166" s="154"/>
      <c r="S166" s="154"/>
      <c r="T166" s="154"/>
      <c r="U166" s="154"/>
      <c r="V166" s="154"/>
    </row>
    <row r="167" spans="1:22">
      <c r="A167" s="154"/>
      <c r="B167" s="154"/>
      <c r="C167" s="154"/>
      <c r="D167" s="154"/>
      <c r="E167" s="154"/>
      <c r="F167" s="154"/>
      <c r="G167" s="154"/>
      <c r="H167" s="154"/>
      <c r="I167" s="154"/>
      <c r="J167" s="154"/>
      <c r="K167" s="154"/>
      <c r="L167" s="154"/>
      <c r="M167" s="154"/>
      <c r="N167" s="154"/>
      <c r="O167" s="154"/>
      <c r="P167" s="154"/>
      <c r="Q167" s="154"/>
      <c r="R167" s="154"/>
      <c r="S167" s="154"/>
      <c r="T167" s="154"/>
      <c r="U167" s="154"/>
      <c r="V167" s="154"/>
    </row>
    <row r="168" spans="1:22">
      <c r="A168" s="154"/>
      <c r="B168" s="154"/>
      <c r="C168" s="154"/>
      <c r="D168" s="154"/>
      <c r="E168" s="154"/>
      <c r="F168" s="154"/>
      <c r="G168" s="154"/>
      <c r="H168" s="154"/>
      <c r="I168" s="154"/>
      <c r="J168" s="154"/>
      <c r="K168" s="154"/>
      <c r="L168" s="154"/>
      <c r="M168" s="154"/>
      <c r="N168" s="154"/>
      <c r="O168" s="154"/>
      <c r="P168" s="154"/>
      <c r="Q168" s="154"/>
      <c r="R168" s="154"/>
      <c r="S168" s="154"/>
      <c r="T168" s="154"/>
      <c r="U168" s="154"/>
      <c r="V168" s="154"/>
    </row>
    <row r="169" spans="1:22">
      <c r="A169" s="154"/>
      <c r="B169" s="154"/>
      <c r="C169" s="154"/>
      <c r="D169" s="154"/>
      <c r="E169" s="154"/>
      <c r="F169" s="154"/>
      <c r="G169" s="154"/>
      <c r="H169" s="154"/>
      <c r="I169" s="154"/>
      <c r="J169" s="154"/>
      <c r="K169" s="154"/>
      <c r="L169" s="154"/>
      <c r="M169" s="154"/>
      <c r="N169" s="154"/>
      <c r="O169" s="154"/>
      <c r="P169" s="154"/>
      <c r="Q169" s="154"/>
      <c r="R169" s="154"/>
      <c r="S169" s="154"/>
      <c r="T169" s="154"/>
      <c r="U169" s="154"/>
      <c r="V169" s="154"/>
    </row>
    <row r="170" spans="1:22">
      <c r="A170" s="154"/>
      <c r="B170" s="154"/>
      <c r="C170" s="154"/>
      <c r="D170" s="154"/>
      <c r="E170" s="154"/>
      <c r="F170" s="154"/>
      <c r="G170" s="154"/>
      <c r="H170" s="154"/>
      <c r="I170" s="154"/>
      <c r="J170" s="154"/>
      <c r="K170" s="154"/>
      <c r="L170" s="154"/>
      <c r="M170" s="154"/>
      <c r="N170" s="154"/>
      <c r="O170" s="154"/>
      <c r="P170" s="154"/>
      <c r="Q170" s="154"/>
      <c r="R170" s="154"/>
      <c r="S170" s="154"/>
      <c r="T170" s="154"/>
      <c r="U170" s="154"/>
      <c r="V170" s="154"/>
    </row>
    <row r="171" spans="1:22">
      <c r="A171" s="154"/>
      <c r="B171" s="154"/>
      <c r="C171" s="154"/>
      <c r="D171" s="154"/>
      <c r="E171" s="154"/>
      <c r="F171" s="154"/>
      <c r="G171" s="154"/>
      <c r="H171" s="154"/>
      <c r="I171" s="154"/>
      <c r="J171" s="154"/>
      <c r="K171" s="154"/>
      <c r="L171" s="154"/>
      <c r="M171" s="154"/>
      <c r="N171" s="154"/>
      <c r="O171" s="154"/>
      <c r="P171" s="154"/>
      <c r="Q171" s="154"/>
      <c r="R171" s="154"/>
      <c r="S171" s="154"/>
      <c r="T171" s="154"/>
      <c r="U171" s="154"/>
      <c r="V171" s="154"/>
    </row>
    <row r="172" spans="1:22">
      <c r="A172" s="154"/>
      <c r="B172" s="154"/>
      <c r="C172" s="154"/>
      <c r="D172" s="154"/>
      <c r="E172" s="154"/>
      <c r="F172" s="154"/>
      <c r="G172" s="154"/>
      <c r="H172" s="154"/>
      <c r="I172" s="154"/>
      <c r="J172" s="154"/>
      <c r="K172" s="154"/>
      <c r="L172" s="154"/>
      <c r="M172" s="154"/>
      <c r="N172" s="154"/>
      <c r="O172" s="154"/>
      <c r="P172" s="154"/>
      <c r="Q172" s="154"/>
      <c r="R172" s="154"/>
      <c r="S172" s="154"/>
      <c r="T172" s="154"/>
      <c r="U172" s="154"/>
      <c r="V172" s="154"/>
    </row>
    <row r="173" spans="1:22">
      <c r="A173" s="154"/>
      <c r="B173" s="154"/>
      <c r="C173" s="154"/>
      <c r="D173" s="154"/>
      <c r="E173" s="154"/>
      <c r="F173" s="154"/>
      <c r="G173" s="154"/>
      <c r="H173" s="154"/>
      <c r="I173" s="154"/>
      <c r="J173" s="154"/>
      <c r="K173" s="154"/>
      <c r="L173" s="154"/>
      <c r="M173" s="154"/>
      <c r="N173" s="154"/>
      <c r="O173" s="154"/>
      <c r="P173" s="154"/>
      <c r="Q173" s="154"/>
      <c r="R173" s="154"/>
      <c r="S173" s="154"/>
      <c r="T173" s="154"/>
      <c r="U173" s="154"/>
      <c r="V173" s="154"/>
    </row>
    <row r="174" spans="1:22">
      <c r="A174" s="154"/>
      <c r="B174" s="154"/>
      <c r="C174" s="154"/>
      <c r="D174" s="154"/>
      <c r="E174" s="154"/>
      <c r="F174" s="154"/>
      <c r="G174" s="154"/>
      <c r="H174" s="154"/>
      <c r="I174" s="154"/>
      <c r="J174" s="154"/>
      <c r="K174" s="154"/>
      <c r="L174" s="154"/>
      <c r="M174" s="154"/>
      <c r="N174" s="154"/>
      <c r="O174" s="154"/>
      <c r="P174" s="154"/>
      <c r="Q174" s="154"/>
      <c r="R174" s="154"/>
      <c r="S174" s="154"/>
      <c r="T174" s="154"/>
      <c r="U174" s="154"/>
      <c r="V174" s="154"/>
    </row>
    <row r="175" spans="1:22">
      <c r="A175" s="154"/>
      <c r="B175" s="154"/>
      <c r="C175" s="154"/>
      <c r="D175" s="154"/>
      <c r="E175" s="154"/>
      <c r="F175" s="154"/>
      <c r="G175" s="154"/>
      <c r="H175" s="154"/>
      <c r="I175" s="154"/>
      <c r="J175" s="154"/>
      <c r="K175" s="154"/>
      <c r="L175" s="154"/>
      <c r="M175" s="154"/>
      <c r="N175" s="154"/>
      <c r="O175" s="154"/>
      <c r="P175" s="154"/>
      <c r="Q175" s="154"/>
      <c r="R175" s="154"/>
      <c r="S175" s="154"/>
      <c r="T175" s="154"/>
      <c r="U175" s="154"/>
      <c r="V175" s="154"/>
    </row>
    <row r="176" spans="1:22">
      <c r="A176" s="154"/>
      <c r="B176" s="154"/>
      <c r="C176" s="154"/>
      <c r="D176" s="154"/>
      <c r="E176" s="154"/>
      <c r="F176" s="154"/>
      <c r="G176" s="154"/>
      <c r="H176" s="154"/>
      <c r="I176" s="154"/>
      <c r="J176" s="154"/>
      <c r="K176" s="154"/>
      <c r="L176" s="154"/>
      <c r="M176" s="154"/>
      <c r="N176" s="154"/>
      <c r="O176" s="154"/>
      <c r="P176" s="154"/>
      <c r="Q176" s="154"/>
      <c r="R176" s="154"/>
      <c r="S176" s="154"/>
      <c r="T176" s="154"/>
      <c r="U176" s="154"/>
      <c r="V176" s="154"/>
    </row>
    <row r="177" spans="1:22">
      <c r="A177" s="154"/>
      <c r="B177" s="154"/>
      <c r="C177" s="154"/>
      <c r="D177" s="154"/>
      <c r="E177" s="154"/>
      <c r="F177" s="154"/>
      <c r="G177" s="154"/>
      <c r="H177" s="154"/>
      <c r="I177" s="154"/>
      <c r="J177" s="154"/>
      <c r="K177" s="154"/>
      <c r="L177" s="154"/>
      <c r="M177" s="154"/>
      <c r="N177" s="154"/>
      <c r="O177" s="154"/>
      <c r="P177" s="154"/>
      <c r="Q177" s="154"/>
      <c r="R177" s="154"/>
      <c r="S177" s="154"/>
      <c r="T177" s="154"/>
      <c r="U177" s="154"/>
      <c r="V177" s="154"/>
    </row>
    <row r="178" spans="1:22">
      <c r="A178" s="154"/>
      <c r="B178" s="154"/>
      <c r="C178" s="154"/>
      <c r="D178" s="154"/>
      <c r="E178" s="154"/>
      <c r="F178" s="154"/>
      <c r="G178" s="154"/>
      <c r="H178" s="154"/>
      <c r="I178" s="154"/>
      <c r="J178" s="154"/>
      <c r="K178" s="154"/>
      <c r="L178" s="154"/>
      <c r="M178" s="154"/>
      <c r="N178" s="154"/>
      <c r="O178" s="154"/>
      <c r="P178" s="154"/>
      <c r="Q178" s="154"/>
      <c r="R178" s="154"/>
      <c r="S178" s="154"/>
      <c r="T178" s="154"/>
      <c r="U178" s="154"/>
      <c r="V178" s="154"/>
    </row>
    <row r="179" spans="1:22">
      <c r="A179" s="154"/>
      <c r="B179" s="154"/>
      <c r="C179" s="154"/>
      <c r="D179" s="154"/>
      <c r="E179" s="154"/>
      <c r="F179" s="154"/>
      <c r="G179" s="154"/>
      <c r="H179" s="154"/>
      <c r="I179" s="154"/>
      <c r="J179" s="154"/>
      <c r="K179" s="154"/>
      <c r="L179" s="154"/>
      <c r="M179" s="154"/>
      <c r="N179" s="154"/>
      <c r="O179" s="154"/>
      <c r="P179" s="154"/>
      <c r="Q179" s="154"/>
      <c r="R179" s="154"/>
      <c r="S179" s="154"/>
      <c r="T179" s="154"/>
      <c r="U179" s="154"/>
      <c r="V179" s="154"/>
    </row>
    <row r="180" spans="1:22">
      <c r="A180" s="154"/>
      <c r="B180" s="154"/>
      <c r="C180" s="154"/>
      <c r="D180" s="154"/>
      <c r="E180" s="154"/>
      <c r="F180" s="154"/>
      <c r="G180" s="154"/>
      <c r="H180" s="154"/>
      <c r="I180" s="154"/>
      <c r="J180" s="154"/>
      <c r="K180" s="154"/>
      <c r="L180" s="154"/>
      <c r="M180" s="154"/>
      <c r="N180" s="154"/>
      <c r="O180" s="154"/>
      <c r="P180" s="154"/>
      <c r="Q180" s="154"/>
      <c r="R180" s="154"/>
      <c r="S180" s="154"/>
      <c r="T180" s="154"/>
      <c r="U180" s="154"/>
      <c r="V180" s="154"/>
    </row>
    <row r="181" spans="1:22">
      <c r="A181" s="154"/>
      <c r="B181" s="154"/>
      <c r="C181" s="154"/>
      <c r="D181" s="154"/>
      <c r="E181" s="154"/>
      <c r="F181" s="154"/>
      <c r="G181" s="154"/>
      <c r="H181" s="154"/>
      <c r="I181" s="154"/>
      <c r="J181" s="154"/>
      <c r="K181" s="154"/>
      <c r="L181" s="154"/>
      <c r="M181" s="154"/>
      <c r="N181" s="154"/>
      <c r="O181" s="154"/>
      <c r="P181" s="154"/>
      <c r="Q181" s="154"/>
      <c r="R181" s="154"/>
      <c r="S181" s="154"/>
      <c r="T181" s="154"/>
      <c r="U181" s="154"/>
      <c r="V181" s="154"/>
    </row>
    <row r="182" spans="1:22">
      <c r="A182" s="154"/>
      <c r="B182" s="154"/>
      <c r="C182" s="154"/>
      <c r="D182" s="154"/>
      <c r="E182" s="154"/>
      <c r="F182" s="154"/>
      <c r="G182" s="154"/>
      <c r="H182" s="154"/>
      <c r="I182" s="154"/>
      <c r="J182" s="154"/>
      <c r="K182" s="154"/>
      <c r="L182" s="154"/>
      <c r="M182" s="154"/>
      <c r="N182" s="154"/>
      <c r="O182" s="154"/>
      <c r="P182" s="154"/>
      <c r="Q182" s="154"/>
      <c r="R182" s="154"/>
      <c r="S182" s="154"/>
      <c r="T182" s="154"/>
      <c r="U182" s="154"/>
      <c r="V182" s="154"/>
    </row>
    <row r="183" spans="1:22">
      <c r="A183" s="154"/>
      <c r="B183" s="154"/>
      <c r="C183" s="154"/>
      <c r="D183" s="154"/>
      <c r="E183" s="154"/>
      <c r="F183" s="154"/>
      <c r="G183" s="154"/>
      <c r="H183" s="154"/>
      <c r="I183" s="154"/>
      <c r="J183" s="154"/>
      <c r="K183" s="154"/>
      <c r="L183" s="154"/>
      <c r="M183" s="154"/>
      <c r="N183" s="154"/>
      <c r="O183" s="154"/>
      <c r="P183" s="154"/>
      <c r="Q183" s="154"/>
      <c r="R183" s="154"/>
      <c r="S183" s="154"/>
      <c r="T183" s="154"/>
      <c r="U183" s="154"/>
      <c r="V183" s="154"/>
    </row>
    <row r="184" spans="1:22">
      <c r="A184" s="154"/>
      <c r="B184" s="154"/>
      <c r="C184" s="154"/>
      <c r="D184" s="154"/>
      <c r="E184" s="154"/>
      <c r="F184" s="154"/>
      <c r="G184" s="154"/>
      <c r="H184" s="154"/>
      <c r="I184" s="154"/>
      <c r="J184" s="154"/>
      <c r="K184" s="154"/>
      <c r="L184" s="154"/>
      <c r="M184" s="154"/>
      <c r="N184" s="154"/>
      <c r="O184" s="154"/>
      <c r="P184" s="154"/>
      <c r="Q184" s="154"/>
      <c r="R184" s="154"/>
      <c r="S184" s="154"/>
      <c r="T184" s="154"/>
      <c r="U184" s="154"/>
      <c r="V184" s="154"/>
    </row>
    <row r="185" spans="1:22">
      <c r="A185" s="154"/>
      <c r="B185" s="154"/>
      <c r="C185" s="154"/>
      <c r="D185" s="154"/>
      <c r="E185" s="154"/>
      <c r="F185" s="154"/>
      <c r="G185" s="154"/>
      <c r="H185" s="154"/>
      <c r="I185" s="154"/>
      <c r="J185" s="154"/>
      <c r="K185" s="154"/>
      <c r="L185" s="154"/>
      <c r="M185" s="154"/>
      <c r="N185" s="154"/>
      <c r="O185" s="154"/>
      <c r="P185" s="154"/>
      <c r="Q185" s="154"/>
      <c r="R185" s="154"/>
      <c r="S185" s="154"/>
      <c r="T185" s="154"/>
      <c r="U185" s="154"/>
      <c r="V185" s="154"/>
    </row>
    <row r="186" spans="1:22">
      <c r="A186" s="154"/>
      <c r="B186" s="154"/>
      <c r="C186" s="154"/>
      <c r="D186" s="154"/>
      <c r="E186" s="154"/>
      <c r="F186" s="154"/>
      <c r="G186" s="154"/>
      <c r="H186" s="154"/>
      <c r="I186" s="154"/>
      <c r="J186" s="154"/>
      <c r="K186" s="154"/>
      <c r="L186" s="154"/>
      <c r="M186" s="154"/>
      <c r="N186" s="154"/>
      <c r="O186" s="154"/>
      <c r="P186" s="154"/>
      <c r="Q186" s="154"/>
      <c r="R186" s="154"/>
      <c r="S186" s="154"/>
      <c r="T186" s="154"/>
      <c r="U186" s="154"/>
      <c r="V186" s="154"/>
    </row>
    <row r="187" spans="1:22">
      <c r="A187" s="154"/>
      <c r="B187" s="154"/>
      <c r="C187" s="154"/>
      <c r="D187" s="154"/>
      <c r="E187" s="154"/>
      <c r="F187" s="154"/>
      <c r="G187" s="154"/>
      <c r="H187" s="154"/>
      <c r="I187" s="154"/>
      <c r="J187" s="154"/>
      <c r="K187" s="154"/>
      <c r="L187" s="154"/>
      <c r="M187" s="154"/>
      <c r="N187" s="154"/>
      <c r="O187" s="154"/>
      <c r="P187" s="154"/>
      <c r="Q187" s="154"/>
      <c r="R187" s="154"/>
      <c r="S187" s="154"/>
      <c r="T187" s="154"/>
      <c r="U187" s="154"/>
      <c r="V187" s="154"/>
    </row>
    <row r="188" spans="1:22">
      <c r="A188" s="154"/>
      <c r="B188" s="154"/>
      <c r="C188" s="154"/>
      <c r="D188" s="154"/>
      <c r="E188" s="154"/>
      <c r="F188" s="154"/>
      <c r="G188" s="154"/>
      <c r="H188" s="154"/>
      <c r="I188" s="154"/>
      <c r="J188" s="154"/>
      <c r="K188" s="154"/>
      <c r="L188" s="154"/>
      <c r="M188" s="154"/>
      <c r="N188" s="154"/>
      <c r="O188" s="154"/>
      <c r="P188" s="154"/>
      <c r="Q188" s="154"/>
      <c r="R188" s="154"/>
      <c r="S188" s="154"/>
      <c r="T188" s="154"/>
      <c r="U188" s="154"/>
      <c r="V188" s="154"/>
    </row>
    <row r="189" spans="1:22">
      <c r="A189" s="154"/>
      <c r="B189" s="154"/>
      <c r="C189" s="154"/>
      <c r="D189" s="154"/>
      <c r="E189" s="154"/>
      <c r="F189" s="154"/>
      <c r="G189" s="154"/>
      <c r="H189" s="154"/>
      <c r="I189" s="154"/>
      <c r="J189" s="154"/>
      <c r="K189" s="154"/>
      <c r="L189" s="154"/>
      <c r="M189" s="154"/>
      <c r="N189" s="154"/>
      <c r="O189" s="154"/>
      <c r="P189" s="154"/>
      <c r="Q189" s="154"/>
      <c r="R189" s="154"/>
      <c r="S189" s="154"/>
      <c r="T189" s="154"/>
      <c r="U189" s="154"/>
      <c r="V189" s="154"/>
    </row>
    <row r="190" spans="1:22">
      <c r="A190" s="154"/>
      <c r="B190" s="154"/>
      <c r="C190" s="154"/>
      <c r="D190" s="154"/>
      <c r="E190" s="154"/>
      <c r="F190" s="154"/>
      <c r="G190" s="154"/>
      <c r="H190" s="154"/>
      <c r="I190" s="154"/>
      <c r="J190" s="154"/>
      <c r="K190" s="154"/>
      <c r="L190" s="154"/>
      <c r="M190" s="154"/>
      <c r="N190" s="154"/>
      <c r="O190" s="154"/>
      <c r="P190" s="154"/>
      <c r="Q190" s="154"/>
      <c r="R190" s="154"/>
      <c r="S190" s="154"/>
      <c r="T190" s="154"/>
      <c r="U190" s="154"/>
      <c r="V190" s="154"/>
    </row>
    <row r="191" spans="1:22">
      <c r="A191" s="154"/>
      <c r="B191" s="154"/>
      <c r="C191" s="154"/>
      <c r="D191" s="154"/>
      <c r="E191" s="154"/>
      <c r="F191" s="154"/>
      <c r="G191" s="154"/>
      <c r="H191" s="154"/>
      <c r="I191" s="154"/>
      <c r="J191" s="154"/>
      <c r="K191" s="154"/>
      <c r="L191" s="154"/>
      <c r="M191" s="154"/>
      <c r="N191" s="154"/>
      <c r="O191" s="154"/>
      <c r="P191" s="154"/>
      <c r="Q191" s="154"/>
      <c r="R191" s="154"/>
      <c r="S191" s="154"/>
      <c r="T191" s="154"/>
      <c r="U191" s="154"/>
      <c r="V191" s="154"/>
    </row>
    <row r="192" spans="1:22">
      <c r="A192" s="154"/>
      <c r="B192" s="154"/>
      <c r="C192" s="154"/>
      <c r="D192" s="154"/>
      <c r="E192" s="154"/>
      <c r="F192" s="154"/>
      <c r="G192" s="154"/>
      <c r="H192" s="154"/>
      <c r="I192" s="154"/>
      <c r="J192" s="154"/>
      <c r="K192" s="154"/>
      <c r="L192" s="154"/>
      <c r="M192" s="154"/>
      <c r="N192" s="154"/>
      <c r="O192" s="154"/>
      <c r="P192" s="154"/>
      <c r="Q192" s="154"/>
      <c r="R192" s="154"/>
      <c r="S192" s="154"/>
      <c r="T192" s="154"/>
      <c r="U192" s="154"/>
      <c r="V192" s="154"/>
    </row>
    <row r="193" spans="1:22">
      <c r="A193" s="154"/>
      <c r="B193" s="154"/>
      <c r="C193" s="154"/>
      <c r="D193" s="154"/>
      <c r="E193" s="154"/>
      <c r="F193" s="154"/>
      <c r="G193" s="154"/>
      <c r="H193" s="154"/>
      <c r="I193" s="154"/>
      <c r="J193" s="154"/>
      <c r="K193" s="154"/>
      <c r="L193" s="154"/>
      <c r="M193" s="154"/>
      <c r="N193" s="154"/>
      <c r="O193" s="154"/>
      <c r="P193" s="154"/>
      <c r="Q193" s="154"/>
      <c r="R193" s="154"/>
      <c r="S193" s="154"/>
      <c r="T193" s="154"/>
      <c r="U193" s="154"/>
      <c r="V193" s="154"/>
    </row>
    <row r="194" spans="1:22">
      <c r="A194" s="154"/>
      <c r="B194" s="154"/>
      <c r="C194" s="154"/>
      <c r="D194" s="154"/>
      <c r="E194" s="154"/>
      <c r="F194" s="154"/>
      <c r="G194" s="154"/>
      <c r="H194" s="154"/>
      <c r="I194" s="154"/>
      <c r="J194" s="154"/>
      <c r="K194" s="154"/>
      <c r="L194" s="154"/>
      <c r="M194" s="154"/>
      <c r="N194" s="154"/>
      <c r="O194" s="154"/>
      <c r="P194" s="154"/>
      <c r="Q194" s="154"/>
      <c r="R194" s="154"/>
      <c r="S194" s="154"/>
      <c r="T194" s="154"/>
      <c r="U194" s="154"/>
      <c r="V194" s="154"/>
    </row>
    <row r="195" spans="1:22">
      <c r="A195" s="154"/>
      <c r="B195" s="154"/>
      <c r="C195" s="154"/>
      <c r="D195" s="154"/>
      <c r="E195" s="154"/>
      <c r="F195" s="154"/>
      <c r="G195" s="154"/>
      <c r="H195" s="154"/>
      <c r="I195" s="154"/>
      <c r="J195" s="154"/>
      <c r="K195" s="154"/>
      <c r="L195" s="154"/>
      <c r="M195" s="154"/>
      <c r="N195" s="154"/>
      <c r="O195" s="154"/>
      <c r="P195" s="154"/>
      <c r="Q195" s="154"/>
      <c r="R195" s="154"/>
      <c r="S195" s="154"/>
      <c r="T195" s="154"/>
      <c r="U195" s="154"/>
      <c r="V195" s="154"/>
    </row>
    <row r="196" spans="1:22">
      <c r="A196" s="154"/>
      <c r="B196" s="154"/>
      <c r="C196" s="154"/>
      <c r="D196" s="154"/>
      <c r="E196" s="154"/>
      <c r="F196" s="154"/>
      <c r="G196" s="154"/>
      <c r="H196" s="154"/>
      <c r="I196" s="154"/>
      <c r="J196" s="154"/>
      <c r="K196" s="154"/>
      <c r="L196" s="154"/>
      <c r="M196" s="154"/>
      <c r="N196" s="154"/>
      <c r="O196" s="154"/>
      <c r="P196" s="154"/>
      <c r="Q196" s="154"/>
      <c r="R196" s="154"/>
      <c r="S196" s="154"/>
      <c r="T196" s="154"/>
      <c r="U196" s="154"/>
      <c r="V196" s="154"/>
    </row>
    <row r="197" spans="1:22">
      <c r="A197" s="154"/>
      <c r="B197" s="154"/>
      <c r="C197" s="154"/>
      <c r="D197" s="154"/>
      <c r="E197" s="154"/>
      <c r="F197" s="154"/>
      <c r="G197" s="154"/>
      <c r="H197" s="154"/>
      <c r="I197" s="154"/>
      <c r="J197" s="154"/>
      <c r="K197" s="154"/>
      <c r="L197" s="154"/>
      <c r="M197" s="154"/>
      <c r="N197" s="154"/>
      <c r="O197" s="154"/>
      <c r="P197" s="154"/>
      <c r="Q197" s="154"/>
      <c r="R197" s="154"/>
      <c r="S197" s="154"/>
      <c r="T197" s="154"/>
      <c r="U197" s="154"/>
      <c r="V197" s="154"/>
    </row>
    <row r="198" spans="1:22">
      <c r="A198" s="154"/>
      <c r="B198" s="154"/>
      <c r="C198" s="154"/>
      <c r="D198" s="154"/>
      <c r="E198" s="154"/>
      <c r="F198" s="154"/>
      <c r="G198" s="154"/>
      <c r="H198" s="154"/>
      <c r="I198" s="154"/>
      <c r="J198" s="154"/>
      <c r="K198" s="154"/>
      <c r="L198" s="154"/>
      <c r="M198" s="154"/>
      <c r="N198" s="154"/>
      <c r="O198" s="154"/>
      <c r="P198" s="154"/>
      <c r="Q198" s="154"/>
      <c r="R198" s="154"/>
      <c r="S198" s="154"/>
      <c r="T198" s="154"/>
      <c r="U198" s="154"/>
      <c r="V198" s="154"/>
    </row>
    <row r="199" spans="1:22">
      <c r="A199" s="154"/>
      <c r="B199" s="154"/>
      <c r="C199" s="154"/>
      <c r="D199" s="154"/>
      <c r="E199" s="154"/>
      <c r="F199" s="154"/>
      <c r="G199" s="154"/>
      <c r="H199" s="154"/>
      <c r="I199" s="154"/>
      <c r="J199" s="154"/>
      <c r="K199" s="154"/>
      <c r="L199" s="154"/>
      <c r="M199" s="154"/>
      <c r="N199" s="154"/>
      <c r="O199" s="154"/>
      <c r="P199" s="154"/>
      <c r="Q199" s="154"/>
      <c r="R199" s="154"/>
      <c r="S199" s="154"/>
      <c r="T199" s="154"/>
      <c r="U199" s="154"/>
      <c r="V199" s="154"/>
    </row>
    <row r="200" spans="1:22">
      <c r="A200" s="154"/>
      <c r="B200" s="154"/>
      <c r="C200" s="154"/>
      <c r="D200" s="154"/>
      <c r="E200" s="154"/>
      <c r="F200" s="154"/>
      <c r="G200" s="154"/>
      <c r="H200" s="154"/>
      <c r="I200" s="154"/>
      <c r="J200" s="154"/>
      <c r="K200" s="154"/>
      <c r="L200" s="154"/>
      <c r="M200" s="154"/>
      <c r="N200" s="154"/>
      <c r="O200" s="154"/>
      <c r="P200" s="154"/>
      <c r="Q200" s="154"/>
      <c r="R200" s="154"/>
      <c r="S200" s="154"/>
      <c r="T200" s="154"/>
      <c r="U200" s="154"/>
      <c r="V200" s="154"/>
    </row>
    <row r="201" spans="1:22">
      <c r="A201" s="154"/>
      <c r="B201" s="154"/>
      <c r="C201" s="154"/>
      <c r="D201" s="154"/>
      <c r="E201" s="154"/>
      <c r="F201" s="154"/>
      <c r="G201" s="154"/>
      <c r="H201" s="154"/>
      <c r="I201" s="154"/>
      <c r="J201" s="154"/>
      <c r="K201" s="154"/>
      <c r="L201" s="154"/>
      <c r="M201" s="154"/>
      <c r="N201" s="154"/>
      <c r="O201" s="154"/>
      <c r="P201" s="154"/>
      <c r="Q201" s="154"/>
      <c r="R201" s="154"/>
      <c r="S201" s="154"/>
      <c r="T201" s="154"/>
      <c r="U201" s="154"/>
      <c r="V201" s="154"/>
    </row>
    <row r="202" spans="1:22">
      <c r="A202" s="154"/>
      <c r="B202" s="154"/>
      <c r="C202" s="154"/>
      <c r="D202" s="154"/>
      <c r="E202" s="154"/>
      <c r="F202" s="154"/>
      <c r="G202" s="154"/>
      <c r="H202" s="154"/>
      <c r="I202" s="154"/>
      <c r="J202" s="154"/>
      <c r="K202" s="154"/>
      <c r="L202" s="154"/>
      <c r="M202" s="154"/>
      <c r="N202" s="154"/>
      <c r="O202" s="154"/>
      <c r="P202" s="154"/>
      <c r="Q202" s="154"/>
      <c r="R202" s="154"/>
      <c r="S202" s="154"/>
      <c r="T202" s="154"/>
      <c r="U202" s="154"/>
      <c r="V202" s="154"/>
    </row>
    <row r="203" spans="1:22">
      <c r="A203" s="154"/>
      <c r="B203" s="154"/>
      <c r="C203" s="154"/>
      <c r="D203" s="154"/>
      <c r="E203" s="154"/>
      <c r="F203" s="154"/>
      <c r="G203" s="154"/>
      <c r="H203" s="154"/>
      <c r="I203" s="154"/>
      <c r="J203" s="154"/>
      <c r="K203" s="154"/>
      <c r="L203" s="154"/>
      <c r="M203" s="154"/>
      <c r="N203" s="154"/>
      <c r="O203" s="154"/>
      <c r="P203" s="154"/>
      <c r="Q203" s="154"/>
      <c r="R203" s="154"/>
      <c r="S203" s="154"/>
      <c r="T203" s="154"/>
      <c r="U203" s="154"/>
      <c r="V203" s="154"/>
    </row>
    <row r="204" spans="1:22">
      <c r="A204" s="154"/>
      <c r="B204" s="154"/>
      <c r="C204" s="154"/>
      <c r="D204" s="154"/>
      <c r="E204" s="154"/>
      <c r="F204" s="154"/>
      <c r="G204" s="154"/>
      <c r="H204" s="154"/>
      <c r="I204" s="154"/>
      <c r="J204" s="154"/>
      <c r="K204" s="154"/>
      <c r="L204" s="154"/>
      <c r="M204" s="154"/>
      <c r="N204" s="154"/>
      <c r="O204" s="154"/>
      <c r="P204" s="154"/>
      <c r="Q204" s="154"/>
      <c r="R204" s="154"/>
      <c r="S204" s="154"/>
      <c r="T204" s="154"/>
      <c r="U204" s="154"/>
      <c r="V204" s="154"/>
    </row>
    <row r="205" spans="1:22">
      <c r="A205" s="154"/>
      <c r="B205" s="154"/>
      <c r="C205" s="154"/>
      <c r="D205" s="154"/>
      <c r="E205" s="154"/>
      <c r="F205" s="154"/>
      <c r="G205" s="154"/>
      <c r="H205" s="154"/>
      <c r="I205" s="154"/>
      <c r="J205" s="154"/>
      <c r="K205" s="154"/>
      <c r="L205" s="154"/>
      <c r="M205" s="154"/>
      <c r="N205" s="154"/>
      <c r="O205" s="154"/>
      <c r="P205" s="154"/>
      <c r="Q205" s="154"/>
      <c r="R205" s="154"/>
      <c r="S205" s="154"/>
      <c r="T205" s="154"/>
      <c r="U205" s="154"/>
      <c r="V205" s="154"/>
    </row>
    <row r="206" spans="1:22">
      <c r="A206" s="154"/>
      <c r="B206" s="154"/>
      <c r="C206" s="154"/>
      <c r="D206" s="154"/>
      <c r="E206" s="154"/>
      <c r="F206" s="154"/>
      <c r="G206" s="154"/>
      <c r="H206" s="154"/>
      <c r="I206" s="154"/>
      <c r="J206" s="154"/>
      <c r="K206" s="154"/>
      <c r="L206" s="154"/>
      <c r="M206" s="154"/>
      <c r="N206" s="154"/>
      <c r="O206" s="154"/>
      <c r="P206" s="154"/>
      <c r="Q206" s="154"/>
      <c r="R206" s="154"/>
      <c r="S206" s="154"/>
      <c r="T206" s="154"/>
      <c r="U206" s="154"/>
      <c r="V206" s="154"/>
    </row>
    <row r="207" spans="1:22">
      <c r="A207" s="154"/>
      <c r="B207" s="154"/>
      <c r="C207" s="154"/>
      <c r="D207" s="154"/>
      <c r="E207" s="154"/>
      <c r="F207" s="154"/>
      <c r="G207" s="154"/>
      <c r="H207" s="154"/>
      <c r="I207" s="154"/>
      <c r="J207" s="154"/>
      <c r="K207" s="154"/>
      <c r="L207" s="154"/>
      <c r="M207" s="154"/>
      <c r="N207" s="154"/>
      <c r="O207" s="154"/>
      <c r="P207" s="154"/>
      <c r="Q207" s="154"/>
      <c r="R207" s="154"/>
      <c r="S207" s="154"/>
      <c r="T207" s="154"/>
      <c r="U207" s="154"/>
      <c r="V207" s="154"/>
    </row>
    <row r="208" spans="1:22">
      <c r="A208" s="154"/>
      <c r="B208" s="154"/>
      <c r="C208" s="154"/>
      <c r="D208" s="154"/>
      <c r="E208" s="154"/>
      <c r="F208" s="154"/>
      <c r="G208" s="154"/>
      <c r="H208" s="154"/>
      <c r="I208" s="154"/>
      <c r="J208" s="154"/>
      <c r="K208" s="154"/>
      <c r="L208" s="154"/>
      <c r="M208" s="154"/>
      <c r="N208" s="154"/>
      <c r="O208" s="154"/>
      <c r="P208" s="154"/>
      <c r="Q208" s="154"/>
      <c r="R208" s="154"/>
      <c r="S208" s="154"/>
      <c r="T208" s="154"/>
      <c r="U208" s="154"/>
      <c r="V208" s="154"/>
    </row>
    <row r="209" spans="1:22">
      <c r="A209" s="154"/>
      <c r="B209" s="154"/>
      <c r="C209" s="154"/>
      <c r="D209" s="154"/>
      <c r="E209" s="154"/>
      <c r="F209" s="154"/>
      <c r="G209" s="154"/>
      <c r="H209" s="154"/>
      <c r="I209" s="154"/>
      <c r="J209" s="154"/>
      <c r="K209" s="154"/>
      <c r="L209" s="154"/>
      <c r="M209" s="154"/>
      <c r="N209" s="154"/>
      <c r="O209" s="154"/>
      <c r="P209" s="154"/>
      <c r="Q209" s="154"/>
      <c r="R209" s="154"/>
      <c r="S209" s="154"/>
      <c r="T209" s="154"/>
      <c r="U209" s="154"/>
      <c r="V209" s="154"/>
    </row>
    <row r="210" spans="1:22">
      <c r="A210" s="154"/>
      <c r="B210" s="154"/>
      <c r="C210" s="154"/>
      <c r="D210" s="154"/>
      <c r="E210" s="154"/>
      <c r="F210" s="154"/>
      <c r="G210" s="154"/>
      <c r="H210" s="154"/>
      <c r="I210" s="154"/>
      <c r="J210" s="154"/>
      <c r="K210" s="154"/>
      <c r="L210" s="154"/>
      <c r="M210" s="154"/>
      <c r="N210" s="154"/>
      <c r="O210" s="154"/>
      <c r="P210" s="154"/>
      <c r="Q210" s="154"/>
      <c r="R210" s="154"/>
      <c r="S210" s="154"/>
      <c r="T210" s="154"/>
      <c r="U210" s="154"/>
      <c r="V210" s="154"/>
    </row>
  </sheetData>
  <sheetProtection formatCells="0" formatColumns="0" formatRows="0" insertColumns="0" insertRows="0" insertHyperlinks="0" deleteColumns="0" deleteRows="0" sort="0" autoFilter="0" pivotTables="0"/>
  <mergeCells count="4">
    <mergeCell ref="A87:U87"/>
    <mergeCell ref="A86:U86"/>
    <mergeCell ref="A85:U85"/>
    <mergeCell ref="A84:U84"/>
  </mergeCells>
  <phoneticPr fontId="126" type="noConversion"/>
  <conditionalFormatting sqref="X4:Y28">
    <cfRule type="cellIs" dxfId="2" priority="1" operator="notEqual">
      <formula>0</formula>
    </cfRule>
  </conditionalFormatting>
  <pageMargins left="0.38" right="0.3" top="0.36" bottom="0.24" header="0.31496062992125984" footer="0.16"/>
  <pageSetup paperSize="9" scale="38" orientation="landscape" r:id="rId1"/>
  <rowBreaks count="1" manualBreakCount="1">
    <brk id="51" max="15" man="1"/>
  </rowBreaks>
  <colBreaks count="1" manualBreakCount="1">
    <brk id="21"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R89"/>
  <sheetViews>
    <sheetView zoomScaleNormal="100" workbookViewId="0">
      <pane ySplit="2" topLeftCell="A3" activePane="bottomLeft" state="frozen"/>
      <selection pane="bottomLeft" activeCell="B4" sqref="B4"/>
    </sheetView>
  </sheetViews>
  <sheetFormatPr defaultColWidth="9.140625" defaultRowHeight="15"/>
  <cols>
    <col min="1" max="1" width="55" style="18" customWidth="1"/>
    <col min="2" max="6" width="10.42578125" style="18" customWidth="1"/>
    <col min="7" max="7" width="11.140625" style="18" customWidth="1"/>
    <col min="8" max="15" width="10.42578125" style="18" customWidth="1"/>
    <col min="16" max="16" width="5.42578125" style="18" customWidth="1"/>
    <col min="17" max="17" width="15.5703125" style="18" customWidth="1"/>
    <col min="18" max="18" width="5.42578125" style="18" customWidth="1"/>
    <col min="19" max="16384" width="9.140625" style="18"/>
  </cols>
  <sheetData>
    <row r="1" spans="1:17">
      <c r="A1" s="16" t="s">
        <v>480</v>
      </c>
      <c r="B1" s="16"/>
      <c r="C1" s="16"/>
      <c r="D1" s="16"/>
      <c r="E1" s="16"/>
      <c r="F1" s="16"/>
      <c r="G1" s="16"/>
      <c r="H1" s="16"/>
      <c r="I1" s="16"/>
      <c r="J1" s="16"/>
      <c r="K1" s="16"/>
      <c r="L1" s="16"/>
      <c r="M1" s="16"/>
      <c r="N1" s="16"/>
      <c r="O1" s="16"/>
      <c r="P1" s="17"/>
      <c r="Q1" s="17"/>
    </row>
    <row r="2" spans="1:17" ht="24.75">
      <c r="A2" s="19" t="s">
        <v>33</v>
      </c>
      <c r="B2" s="54" t="s">
        <v>556</v>
      </c>
      <c r="C2" s="54" t="s">
        <v>521</v>
      </c>
      <c r="D2" s="54" t="s">
        <v>520</v>
      </c>
      <c r="E2" s="54" t="s">
        <v>519</v>
      </c>
      <c r="F2" s="54" t="s">
        <v>517</v>
      </c>
      <c r="G2" s="54" t="s">
        <v>516</v>
      </c>
      <c r="H2" s="54" t="s">
        <v>518</v>
      </c>
      <c r="I2" s="54" t="s">
        <v>337</v>
      </c>
      <c r="J2" s="54" t="s">
        <v>329</v>
      </c>
      <c r="K2" s="54" t="s">
        <v>322</v>
      </c>
      <c r="L2" s="54" t="s">
        <v>515</v>
      </c>
      <c r="M2" s="54" t="s">
        <v>514</v>
      </c>
      <c r="N2" s="54" t="s">
        <v>513</v>
      </c>
      <c r="O2" s="54" t="s">
        <v>512</v>
      </c>
      <c r="P2" s="53"/>
      <c r="Q2" s="252" t="s">
        <v>557</v>
      </c>
    </row>
    <row r="3" spans="1:17">
      <c r="A3" s="21" t="s">
        <v>3</v>
      </c>
      <c r="B3" s="21"/>
      <c r="C3" s="21"/>
      <c r="D3" s="21"/>
      <c r="E3" s="21"/>
      <c r="F3" s="21"/>
      <c r="G3" s="21"/>
      <c r="H3" s="21"/>
      <c r="I3" s="21"/>
      <c r="J3" s="21"/>
      <c r="K3" s="21"/>
      <c r="L3" s="21"/>
      <c r="M3" s="21"/>
      <c r="N3" s="21"/>
      <c r="O3" s="21"/>
      <c r="P3" s="22"/>
      <c r="Q3" s="22"/>
    </row>
    <row r="4" spans="1:17">
      <c r="A4" s="55" t="s">
        <v>66</v>
      </c>
      <c r="B4" s="176">
        <v>7598.0469999999996</v>
      </c>
      <c r="C4" s="26">
        <v>7658.5450000000001</v>
      </c>
      <c r="D4" s="26">
        <v>7933.0360000000001</v>
      </c>
      <c r="E4" s="26">
        <v>7512.5020000000004</v>
      </c>
      <c r="F4" s="26">
        <v>7401.06</v>
      </c>
      <c r="G4" s="26">
        <v>7197.2510000000002</v>
      </c>
      <c r="H4" s="26">
        <v>7600.7259999999997</v>
      </c>
      <c r="I4" s="26">
        <v>7517.0020000000004</v>
      </c>
      <c r="J4" s="26">
        <v>7287.2209999999995</v>
      </c>
      <c r="K4" s="26">
        <v>7217.0460000000003</v>
      </c>
      <c r="L4" s="26">
        <v>9614.5020000000004</v>
      </c>
      <c r="M4" s="26">
        <v>9565.4130000000005</v>
      </c>
      <c r="N4" s="26">
        <v>9127.4290000000001</v>
      </c>
      <c r="O4" s="26">
        <v>9247.7049999999999</v>
      </c>
      <c r="P4" s="26"/>
      <c r="Q4" s="28">
        <v>-7.8994117028757423E-3</v>
      </c>
    </row>
    <row r="5" spans="1:17">
      <c r="A5" s="55" t="s">
        <v>67</v>
      </c>
      <c r="B5" s="176">
        <v>480.35500000000002</v>
      </c>
      <c r="C5" s="26">
        <v>535.90800000000002</v>
      </c>
      <c r="D5" s="26">
        <v>575.50800000000004</v>
      </c>
      <c r="E5" s="26">
        <v>912.80899999999997</v>
      </c>
      <c r="F5" s="26">
        <v>1004.664</v>
      </c>
      <c r="G5" s="26">
        <v>1018.603</v>
      </c>
      <c r="H5" s="26">
        <v>820.57399999999996</v>
      </c>
      <c r="I5" s="26">
        <v>337.399</v>
      </c>
      <c r="J5" s="26">
        <v>384.11200000000002</v>
      </c>
      <c r="K5" s="26">
        <v>383.70699999999999</v>
      </c>
      <c r="L5" s="26">
        <v>384.80200000000002</v>
      </c>
      <c r="M5" s="26">
        <v>409.90300000000002</v>
      </c>
      <c r="N5" s="26">
        <v>431.81200000000001</v>
      </c>
      <c r="O5" s="26">
        <v>415.83199999999999</v>
      </c>
      <c r="P5" s="26"/>
      <c r="Q5" s="28">
        <v>-0.10366144935324718</v>
      </c>
    </row>
    <row r="6" spans="1:17">
      <c r="A6" s="55" t="s">
        <v>316</v>
      </c>
      <c r="B6" s="176">
        <v>1617.7550000000001</v>
      </c>
      <c r="C6" s="26">
        <v>1617.9469999999999</v>
      </c>
      <c r="D6" s="26">
        <v>1618.9549999999999</v>
      </c>
      <c r="E6" s="26">
        <v>1322.4839999999999</v>
      </c>
      <c r="F6" s="26">
        <v>1014.713</v>
      </c>
      <c r="G6" s="26">
        <v>1015.539</v>
      </c>
      <c r="H6" s="26">
        <v>1010.17</v>
      </c>
      <c r="I6" s="26">
        <v>1022.515</v>
      </c>
      <c r="J6" s="26">
        <v>1014.8579999999999</v>
      </c>
      <c r="K6" s="26">
        <v>707.52599999999995</v>
      </c>
      <c r="L6" s="26">
        <v>403.19900000000001</v>
      </c>
      <c r="M6" s="129"/>
      <c r="N6" s="129"/>
      <c r="O6" s="129"/>
      <c r="P6" s="26"/>
      <c r="Q6" s="28">
        <v>-1.1866890571803644E-4</v>
      </c>
    </row>
    <row r="7" spans="1:17">
      <c r="A7" s="55" t="s">
        <v>563</v>
      </c>
      <c r="B7" s="176">
        <v>5803.2420000000002</v>
      </c>
      <c r="C7" s="26">
        <v>5589.9340000000002</v>
      </c>
      <c r="D7" s="26">
        <v>5323.732</v>
      </c>
      <c r="E7" s="26">
        <v>5102.9520000000002</v>
      </c>
      <c r="F7" s="26">
        <v>4831.5550000000003</v>
      </c>
      <c r="G7" s="26">
        <v>4661.5540000000001</v>
      </c>
      <c r="H7" s="26">
        <v>4358.3429999999998</v>
      </c>
      <c r="I7" s="26">
        <v>4199.384</v>
      </c>
      <c r="J7" s="26">
        <v>3958.7539999999999</v>
      </c>
      <c r="K7" s="26">
        <v>3875.886</v>
      </c>
      <c r="L7" s="26">
        <v>3695.4090000000001</v>
      </c>
      <c r="M7" s="26">
        <v>3636.3919999999998</v>
      </c>
      <c r="N7" s="26">
        <v>3329.7069999999999</v>
      </c>
      <c r="O7" s="26">
        <v>2896.98</v>
      </c>
      <c r="P7" s="26"/>
      <c r="Q7" s="28">
        <v>3.8159305637597868E-2</v>
      </c>
    </row>
    <row r="8" spans="1:17">
      <c r="A8" s="55" t="s">
        <v>447</v>
      </c>
      <c r="B8" s="176">
        <v>11333.455</v>
      </c>
      <c r="C8" s="26">
        <v>11028.008</v>
      </c>
      <c r="D8" s="26">
        <v>10798.342000000001</v>
      </c>
      <c r="E8" s="26">
        <v>10653.579</v>
      </c>
      <c r="F8" s="26">
        <v>10577.868</v>
      </c>
      <c r="G8" s="26">
        <v>10387.055</v>
      </c>
      <c r="H8" s="26">
        <v>10114.394</v>
      </c>
      <c r="I8" s="26">
        <v>10031.306</v>
      </c>
      <c r="J8" s="26">
        <v>10084.967000000001</v>
      </c>
      <c r="K8" s="26">
        <v>10027.894</v>
      </c>
      <c r="L8" s="26">
        <v>9821.7880000000005</v>
      </c>
      <c r="M8" s="26">
        <v>9910.4549999999999</v>
      </c>
      <c r="N8" s="26">
        <v>10007.819</v>
      </c>
      <c r="O8" s="26">
        <v>10013.108</v>
      </c>
      <c r="P8" s="26"/>
      <c r="Q8" s="28">
        <v>2.7697386508968812E-2</v>
      </c>
    </row>
    <row r="9" spans="1:17">
      <c r="A9" s="55" t="s">
        <v>448</v>
      </c>
      <c r="B9" s="176">
        <v>342.178</v>
      </c>
      <c r="C9" s="26">
        <v>357.03399999999999</v>
      </c>
      <c r="D9" s="26">
        <v>372.202</v>
      </c>
      <c r="E9" s="26">
        <v>411.64100000000002</v>
      </c>
      <c r="F9" s="26">
        <v>432.57499999999999</v>
      </c>
      <c r="G9" s="26">
        <v>622.18700000000001</v>
      </c>
      <c r="H9" s="26">
        <v>648.75699999999995</v>
      </c>
      <c r="I9" s="26">
        <v>742.08399999999995</v>
      </c>
      <c r="J9" s="26">
        <v>763.91300000000001</v>
      </c>
      <c r="K9" s="26">
        <v>803.64599999999996</v>
      </c>
      <c r="L9" s="26">
        <v>826.11500000000001</v>
      </c>
      <c r="M9" s="26">
        <v>922.28</v>
      </c>
      <c r="N9" s="26">
        <v>945.83100000000002</v>
      </c>
      <c r="O9" s="26">
        <v>977.52499999999998</v>
      </c>
      <c r="P9" s="26"/>
      <c r="Q9" s="28">
        <v>-4.1609482570287411E-2</v>
      </c>
    </row>
    <row r="10" spans="1:17">
      <c r="A10" s="55" t="s">
        <v>306</v>
      </c>
      <c r="B10" s="176">
        <v>26.326000000000001</v>
      </c>
      <c r="C10" s="26">
        <v>27.706</v>
      </c>
      <c r="D10" s="26">
        <v>28.33</v>
      </c>
      <c r="E10" s="26">
        <v>30.803000000000001</v>
      </c>
      <c r="F10" s="26">
        <v>33.146999999999998</v>
      </c>
      <c r="G10" s="26">
        <v>35.515999999999998</v>
      </c>
      <c r="H10" s="26">
        <v>36.250999999999998</v>
      </c>
      <c r="I10" s="26">
        <v>50.170999999999999</v>
      </c>
      <c r="J10" s="26">
        <v>55.613999999999997</v>
      </c>
      <c r="K10" s="26">
        <v>62.320999999999998</v>
      </c>
      <c r="L10" s="26">
        <v>62.104999999999997</v>
      </c>
      <c r="M10" s="26">
        <v>71.204999999999998</v>
      </c>
      <c r="N10" s="26">
        <v>74.338999999999999</v>
      </c>
      <c r="O10" s="26">
        <v>83.06</v>
      </c>
      <c r="P10" s="26"/>
      <c r="Q10" s="28">
        <v>-4.980870569551718E-2</v>
      </c>
    </row>
    <row r="11" spans="1:17">
      <c r="A11" s="55" t="s">
        <v>344</v>
      </c>
      <c r="B11" s="176">
        <v>1932.1679999999999</v>
      </c>
      <c r="C11" s="26">
        <v>1890.6559999999999</v>
      </c>
      <c r="D11" s="26">
        <v>1918.297</v>
      </c>
      <c r="E11" s="26">
        <v>1898.759</v>
      </c>
      <c r="F11" s="26">
        <v>1807.931</v>
      </c>
      <c r="G11" s="26">
        <v>1902.498</v>
      </c>
      <c r="H11" s="26">
        <v>1871.2329999999999</v>
      </c>
      <c r="I11" s="26">
        <v>1950.9469999999999</v>
      </c>
      <c r="J11" s="26">
        <v>1916.731</v>
      </c>
      <c r="K11" s="26">
        <v>1862.6469999999999</v>
      </c>
      <c r="L11" s="26">
        <v>1820.6569999999999</v>
      </c>
      <c r="M11" s="26">
        <v>1835.992</v>
      </c>
      <c r="N11" s="26">
        <v>1789.7</v>
      </c>
      <c r="O11" s="26">
        <v>1752.5940000000001</v>
      </c>
      <c r="P11" s="26"/>
      <c r="Q11" s="28">
        <v>2.1956400318196408E-2</v>
      </c>
    </row>
    <row r="12" spans="1:17">
      <c r="A12" s="55" t="s">
        <v>68</v>
      </c>
      <c r="B12" s="176">
        <v>0</v>
      </c>
      <c r="C12" s="26">
        <v>0</v>
      </c>
      <c r="D12" s="26">
        <v>0</v>
      </c>
      <c r="E12" s="26">
        <v>11.34</v>
      </c>
      <c r="F12" s="26">
        <v>0</v>
      </c>
      <c r="G12" s="26">
        <v>0</v>
      </c>
      <c r="H12" s="26">
        <v>23.143000000000001</v>
      </c>
      <c r="I12" s="26">
        <v>12.29</v>
      </c>
      <c r="J12" s="26">
        <v>0</v>
      </c>
      <c r="K12" s="26">
        <v>0</v>
      </c>
      <c r="L12" s="26">
        <v>0</v>
      </c>
      <c r="M12" s="26">
        <v>0</v>
      </c>
      <c r="N12" s="26">
        <v>0</v>
      </c>
      <c r="O12" s="26">
        <v>0</v>
      </c>
      <c r="P12" s="26"/>
      <c r="Q12" s="28">
        <v>0</v>
      </c>
    </row>
    <row r="13" spans="1:17" ht="15.75" thickBot="1">
      <c r="A13" s="19" t="s">
        <v>69</v>
      </c>
      <c r="B13" s="177">
        <v>29133.526000000002</v>
      </c>
      <c r="C13" s="205">
        <v>28705.738000000001</v>
      </c>
      <c r="D13" s="205">
        <v>28568.401999999998</v>
      </c>
      <c r="E13" s="205">
        <v>27856.868999999999</v>
      </c>
      <c r="F13" s="205">
        <v>27103.512999999999</v>
      </c>
      <c r="G13" s="205">
        <v>26840.203000000001</v>
      </c>
      <c r="H13" s="205">
        <v>26483.591</v>
      </c>
      <c r="I13" s="205">
        <v>25863.098000000002</v>
      </c>
      <c r="J13" s="205">
        <v>25466.17</v>
      </c>
      <c r="K13" s="205">
        <v>24940.672999999999</v>
      </c>
      <c r="L13" s="205">
        <v>26628.577000000001</v>
      </c>
      <c r="M13" s="205">
        <v>26351.64</v>
      </c>
      <c r="N13" s="205">
        <v>25706.636999999999</v>
      </c>
      <c r="O13" s="205">
        <v>25386.804</v>
      </c>
      <c r="P13" s="30"/>
      <c r="Q13" s="160">
        <v>1.4902525759832422E-2</v>
      </c>
    </row>
    <row r="14" spans="1:17" ht="15.75" thickTop="1">
      <c r="A14" s="19"/>
      <c r="B14" s="30"/>
      <c r="C14" s="30"/>
      <c r="D14" s="30"/>
      <c r="E14" s="30"/>
      <c r="F14" s="30"/>
      <c r="G14" s="30"/>
      <c r="H14" s="30"/>
      <c r="I14" s="30"/>
      <c r="J14" s="235"/>
      <c r="K14" s="235"/>
      <c r="L14" s="235"/>
      <c r="M14" s="235"/>
      <c r="N14" s="235"/>
      <c r="O14" s="235"/>
      <c r="P14" s="30"/>
      <c r="Q14" s="162"/>
    </row>
    <row r="15" spans="1:17">
      <c r="A15" s="38" t="s">
        <v>70</v>
      </c>
      <c r="B15" s="176">
        <v>369.11700000000002</v>
      </c>
      <c r="C15" s="26">
        <v>365.18599999999998</v>
      </c>
      <c r="D15" s="26">
        <v>404.09899999999999</v>
      </c>
      <c r="E15" s="26">
        <v>454.471</v>
      </c>
      <c r="F15" s="26">
        <v>502.18700000000001</v>
      </c>
      <c r="G15" s="26">
        <v>430.18</v>
      </c>
      <c r="H15" s="26">
        <v>364.23099999999999</v>
      </c>
      <c r="I15" s="26">
        <v>380.75599999999997</v>
      </c>
      <c r="J15" s="26">
        <v>405.43799999999999</v>
      </c>
      <c r="K15" s="26">
        <v>395.79</v>
      </c>
      <c r="L15" s="26">
        <v>471.55599999999998</v>
      </c>
      <c r="M15" s="26">
        <v>442.75400000000002</v>
      </c>
      <c r="N15" s="26">
        <v>448.71300000000002</v>
      </c>
      <c r="O15" s="26">
        <v>481.03699999999998</v>
      </c>
      <c r="P15" s="26"/>
      <c r="Q15" s="28">
        <v>1.0764377604837097E-2</v>
      </c>
    </row>
    <row r="16" spans="1:17">
      <c r="A16" s="55" t="s">
        <v>71</v>
      </c>
      <c r="B16" s="176">
        <v>0</v>
      </c>
      <c r="C16" s="26">
        <v>0</v>
      </c>
      <c r="D16" s="26">
        <v>0</v>
      </c>
      <c r="E16" s="26">
        <v>0</v>
      </c>
      <c r="F16" s="26">
        <v>0</v>
      </c>
      <c r="G16" s="26">
        <v>0</v>
      </c>
      <c r="H16" s="26">
        <v>0</v>
      </c>
      <c r="I16" s="26">
        <v>0</v>
      </c>
      <c r="J16" s="26">
        <v>0</v>
      </c>
      <c r="K16" s="26">
        <v>310.30799999999999</v>
      </c>
      <c r="L16" s="26">
        <v>2043.8679999999999</v>
      </c>
      <c r="M16" s="26">
        <v>2023.424</v>
      </c>
      <c r="N16" s="26">
        <v>2004.48</v>
      </c>
      <c r="O16" s="26">
        <v>1988.452</v>
      </c>
      <c r="P16" s="26"/>
      <c r="Q16" s="28">
        <v>0</v>
      </c>
    </row>
    <row r="17" spans="1:17">
      <c r="A17" s="55" t="s">
        <v>5</v>
      </c>
      <c r="B17" s="176">
        <v>22797.85</v>
      </c>
      <c r="C17" s="26">
        <v>22259.572</v>
      </c>
      <c r="D17" s="26">
        <v>22187.465</v>
      </c>
      <c r="E17" s="26">
        <v>21455.478999999999</v>
      </c>
      <c r="F17" s="26">
        <v>20903.113000000001</v>
      </c>
      <c r="G17" s="26">
        <v>20702.361000000001</v>
      </c>
      <c r="H17" s="26">
        <v>20519.276000000002</v>
      </c>
      <c r="I17" s="26">
        <v>19988.552</v>
      </c>
      <c r="J17" s="26">
        <v>19722.691999999999</v>
      </c>
      <c r="K17" s="26">
        <v>19259.887999999999</v>
      </c>
      <c r="L17" s="26">
        <v>19336.915000000001</v>
      </c>
      <c r="M17" s="26">
        <v>19267.145</v>
      </c>
      <c r="N17" s="26">
        <v>19166.154999999999</v>
      </c>
      <c r="O17" s="26">
        <v>18973.589</v>
      </c>
      <c r="P17" s="26"/>
      <c r="Q17" s="28">
        <v>2.418186656958177E-2</v>
      </c>
    </row>
    <row r="18" spans="1:17">
      <c r="A18" s="55" t="s">
        <v>73</v>
      </c>
      <c r="B18" s="176">
        <v>979.625</v>
      </c>
      <c r="C18" s="26">
        <v>988.36599999999999</v>
      </c>
      <c r="D18" s="26">
        <v>983.44600000000003</v>
      </c>
      <c r="E18" s="26">
        <v>973.45399999999995</v>
      </c>
      <c r="F18" s="26">
        <v>992.13800000000003</v>
      </c>
      <c r="G18" s="26">
        <v>1000.487</v>
      </c>
      <c r="H18" s="26">
        <v>989.43499999999995</v>
      </c>
      <c r="I18" s="26">
        <v>975.83399999999995</v>
      </c>
      <c r="J18" s="26">
        <v>970.79</v>
      </c>
      <c r="K18" s="26">
        <v>672.54200000000003</v>
      </c>
      <c r="L18" s="26">
        <v>671.63199999999995</v>
      </c>
      <c r="M18" s="26">
        <v>644.28099999999995</v>
      </c>
      <c r="N18" s="26">
        <v>291.976</v>
      </c>
      <c r="O18" s="26">
        <v>300.25799999999998</v>
      </c>
      <c r="P18" s="26"/>
      <c r="Q18" s="28">
        <v>-8.843889814097193E-3</v>
      </c>
    </row>
    <row r="19" spans="1:17">
      <c r="A19" s="55" t="s">
        <v>160</v>
      </c>
      <c r="B19" s="176">
        <v>300.51799999999997</v>
      </c>
      <c r="C19" s="26">
        <v>378.93099999999998</v>
      </c>
      <c r="D19" s="26">
        <v>378.72</v>
      </c>
      <c r="E19" s="26">
        <v>382.30399999999997</v>
      </c>
      <c r="F19" s="26">
        <v>316.44499999999999</v>
      </c>
      <c r="G19" s="26">
        <v>311.67099999999999</v>
      </c>
      <c r="H19" s="26">
        <v>307.13799999999998</v>
      </c>
      <c r="I19" s="26">
        <v>321.755</v>
      </c>
      <c r="J19" s="26">
        <v>313.00900000000001</v>
      </c>
      <c r="K19" s="26">
        <v>308.84100000000001</v>
      </c>
      <c r="L19" s="26">
        <v>306.78699999999998</v>
      </c>
      <c r="M19" s="26">
        <v>314.98899999999998</v>
      </c>
      <c r="N19" s="26">
        <v>309.34800000000001</v>
      </c>
      <c r="O19" s="26">
        <v>307.11599999999999</v>
      </c>
      <c r="P19" s="26"/>
      <c r="Q19" s="28">
        <v>-0.20693213276295688</v>
      </c>
    </row>
    <row r="20" spans="1:17">
      <c r="A20" s="55" t="s">
        <v>75</v>
      </c>
      <c r="B20" s="176">
        <v>1714.510000000007</v>
      </c>
      <c r="C20" s="26">
        <v>1645.299</v>
      </c>
      <c r="D20" s="26">
        <v>1665.145</v>
      </c>
      <c r="E20" s="26">
        <v>1744.1949999999999</v>
      </c>
      <c r="F20" s="26">
        <v>1574.72</v>
      </c>
      <c r="G20" s="26">
        <v>1454.4110000000001</v>
      </c>
      <c r="H20" s="26">
        <v>1473.444</v>
      </c>
      <c r="I20" s="26">
        <v>1445.3050000000001</v>
      </c>
      <c r="J20" s="26">
        <v>1424.59</v>
      </c>
      <c r="K20" s="26">
        <v>1370.61</v>
      </c>
      <c r="L20" s="26">
        <v>1309.4780000000001</v>
      </c>
      <c r="M20" s="26">
        <v>1293.7819999999999</v>
      </c>
      <c r="N20" s="26">
        <v>1242.778</v>
      </c>
      <c r="O20" s="26">
        <v>1194.2909999999999</v>
      </c>
      <c r="P20" s="26"/>
      <c r="Q20" s="28">
        <v>4.206591020842234E-2</v>
      </c>
    </row>
    <row r="21" spans="1:17">
      <c r="A21" s="56" t="s">
        <v>76</v>
      </c>
      <c r="B21" s="178">
        <v>26161.620000000003</v>
      </c>
      <c r="C21" s="30">
        <v>25637.353999999999</v>
      </c>
      <c r="D21" s="30">
        <v>25618.875</v>
      </c>
      <c r="E21" s="30">
        <v>25009.902999999998</v>
      </c>
      <c r="F21" s="30">
        <v>24288.602999999999</v>
      </c>
      <c r="G21" s="30">
        <v>23899.11</v>
      </c>
      <c r="H21" s="30">
        <v>23653.524000000001</v>
      </c>
      <c r="I21" s="30">
        <v>23112.202000000001</v>
      </c>
      <c r="J21" s="30">
        <v>22836.519</v>
      </c>
      <c r="K21" s="30">
        <v>22317.978999999999</v>
      </c>
      <c r="L21" s="30">
        <v>24140.236000000001</v>
      </c>
      <c r="M21" s="30">
        <v>23986.375</v>
      </c>
      <c r="N21" s="30">
        <v>23463.45</v>
      </c>
      <c r="O21" s="30">
        <v>23244.742999999999</v>
      </c>
      <c r="P21" s="30"/>
      <c r="Q21" s="28">
        <v>2.0449302217381844E-2</v>
      </c>
    </row>
    <row r="22" spans="1:17">
      <c r="A22" s="167" t="s">
        <v>288</v>
      </c>
      <c r="B22" s="176">
        <v>2951.7829999999999</v>
      </c>
      <c r="C22" s="26">
        <v>3048.5610000000001</v>
      </c>
      <c r="D22" s="26">
        <v>2929.7820000000002</v>
      </c>
      <c r="E22" s="26">
        <v>2824.76</v>
      </c>
      <c r="F22" s="26">
        <v>2793.5790000000002</v>
      </c>
      <c r="G22" s="26">
        <v>2920.1669999999999</v>
      </c>
      <c r="H22" s="26">
        <v>2809.873</v>
      </c>
      <c r="I22" s="26">
        <v>2728.0839999999998</v>
      </c>
      <c r="J22" s="26">
        <v>2607.3820000000001</v>
      </c>
      <c r="K22" s="26">
        <v>2600.8759999999997</v>
      </c>
      <c r="L22" s="26">
        <v>2467.08</v>
      </c>
      <c r="M22" s="26">
        <v>2341.27</v>
      </c>
      <c r="N22" s="26">
        <v>2219.9760000000001</v>
      </c>
      <c r="O22" s="26">
        <v>2119.2020000000002</v>
      </c>
      <c r="P22" s="57"/>
      <c r="Q22" s="28">
        <v>-3.1745469419834554E-2</v>
      </c>
    </row>
    <row r="23" spans="1:17">
      <c r="A23" s="55" t="s">
        <v>77</v>
      </c>
      <c r="B23" s="176">
        <v>20.123000000000001</v>
      </c>
      <c r="C23" s="26">
        <v>19.823</v>
      </c>
      <c r="D23" s="26">
        <v>19.744999999999997</v>
      </c>
      <c r="E23" s="26">
        <v>22.206</v>
      </c>
      <c r="F23" s="26">
        <v>21.331</v>
      </c>
      <c r="G23" s="26">
        <v>20.925999999999998</v>
      </c>
      <c r="H23" s="26">
        <v>20.193999999999999</v>
      </c>
      <c r="I23" s="26">
        <v>22.812000000000001</v>
      </c>
      <c r="J23" s="26">
        <v>22.268999999999998</v>
      </c>
      <c r="K23" s="26">
        <v>21.818000000000001</v>
      </c>
      <c r="L23" s="26">
        <v>21.260999999999999</v>
      </c>
      <c r="M23" s="26">
        <v>23.995000000000001</v>
      </c>
      <c r="N23" s="26">
        <v>23.210999999999999</v>
      </c>
      <c r="O23" s="26">
        <v>22.859000000000002</v>
      </c>
      <c r="P23" s="57"/>
      <c r="Q23" s="28">
        <v>1.5133935327649735E-2</v>
      </c>
    </row>
    <row r="24" spans="1:17">
      <c r="A24" s="56" t="s">
        <v>78</v>
      </c>
      <c r="B24" s="178">
        <v>2971.9059999999999</v>
      </c>
      <c r="C24" s="30">
        <v>3068.384</v>
      </c>
      <c r="D24" s="30">
        <v>2949.527</v>
      </c>
      <c r="E24" s="30">
        <v>2846.9659999999999</v>
      </c>
      <c r="F24" s="30">
        <v>2814.9100000000003</v>
      </c>
      <c r="G24" s="30">
        <v>2941.0929999999998</v>
      </c>
      <c r="H24" s="30">
        <v>2830.067</v>
      </c>
      <c r="I24" s="30">
        <v>2750.8960000000002</v>
      </c>
      <c r="J24" s="30">
        <v>2629.6509999999998</v>
      </c>
      <c r="K24" s="30">
        <v>2622.694</v>
      </c>
      <c r="L24" s="30">
        <v>2488.3409999999999</v>
      </c>
      <c r="M24" s="30">
        <v>2365.2649999999999</v>
      </c>
      <c r="N24" s="30">
        <v>2243.1869999999999</v>
      </c>
      <c r="O24" s="30">
        <v>2142.0610000000001</v>
      </c>
      <c r="P24" s="57"/>
      <c r="Q24" s="28">
        <v>-3.1442609529967587E-2</v>
      </c>
    </row>
    <row r="25" spans="1:17" ht="15.75" thickBot="1">
      <c r="A25" s="56" t="s">
        <v>79</v>
      </c>
      <c r="B25" s="177">
        <v>29133.526000000002</v>
      </c>
      <c r="C25" s="205">
        <v>28705.738000000001</v>
      </c>
      <c r="D25" s="205">
        <v>28568.401999999998</v>
      </c>
      <c r="E25" s="205">
        <v>27856.868999999999</v>
      </c>
      <c r="F25" s="205">
        <v>27103.512999999999</v>
      </c>
      <c r="G25" s="205">
        <v>26840.203000000001</v>
      </c>
      <c r="H25" s="205">
        <v>26483.591</v>
      </c>
      <c r="I25" s="205">
        <v>25863.098000000002</v>
      </c>
      <c r="J25" s="205">
        <v>25466.17</v>
      </c>
      <c r="K25" s="205">
        <v>24940.672999999999</v>
      </c>
      <c r="L25" s="205">
        <v>26628.577000000001</v>
      </c>
      <c r="M25" s="205">
        <v>26351.64</v>
      </c>
      <c r="N25" s="205">
        <v>25706.636999999999</v>
      </c>
      <c r="O25" s="205">
        <v>25386.804</v>
      </c>
      <c r="P25" s="57"/>
      <c r="Q25" s="160">
        <v>1.4902525759832422E-2</v>
      </c>
    </row>
    <row r="26" spans="1:17" ht="15.75" thickTop="1">
      <c r="A26" s="56"/>
      <c r="B26" s="56"/>
      <c r="C26" s="56"/>
      <c r="D26" s="56"/>
      <c r="E26" s="56"/>
      <c r="F26" s="56"/>
      <c r="G26" s="56"/>
      <c r="H26" s="56"/>
      <c r="I26" s="56"/>
      <c r="J26" s="56"/>
      <c r="K26" s="56"/>
      <c r="L26" s="56"/>
      <c r="M26" s="56"/>
      <c r="N26" s="56"/>
      <c r="O26" s="56"/>
      <c r="P26" s="40"/>
      <c r="Q26" s="40"/>
    </row>
    <row r="27" spans="1:17">
      <c r="A27" s="21" t="s">
        <v>1</v>
      </c>
      <c r="B27" s="58"/>
      <c r="C27" s="58"/>
      <c r="D27" s="58"/>
      <c r="E27" s="58"/>
      <c r="F27" s="58"/>
      <c r="G27" s="58"/>
      <c r="H27" s="58"/>
      <c r="I27" s="58"/>
      <c r="J27" s="58"/>
      <c r="K27" s="58"/>
      <c r="L27" s="58"/>
      <c r="M27" s="58"/>
      <c r="N27" s="58"/>
      <c r="O27" s="58"/>
      <c r="P27" s="59"/>
      <c r="Q27" s="59"/>
    </row>
    <row r="28" spans="1:17" hidden="1">
      <c r="A28" s="56" t="s">
        <v>295</v>
      </c>
      <c r="B28" s="129"/>
      <c r="C28" s="129"/>
      <c r="D28" s="129"/>
      <c r="E28" s="129"/>
      <c r="F28" s="129"/>
      <c r="G28" s="129"/>
      <c r="H28" s="129"/>
      <c r="I28" s="129"/>
      <c r="J28" s="129"/>
      <c r="K28" s="129"/>
      <c r="L28" s="129"/>
      <c r="M28" s="129"/>
      <c r="N28" s="129"/>
      <c r="O28" s="129"/>
      <c r="P28" s="40"/>
      <c r="Q28" s="129"/>
    </row>
    <row r="29" spans="1:17" hidden="1">
      <c r="A29" s="56" t="s">
        <v>175</v>
      </c>
      <c r="B29" s="129"/>
      <c r="C29" s="129"/>
      <c r="D29" s="129"/>
      <c r="E29" s="129"/>
      <c r="F29" s="129"/>
      <c r="G29" s="129"/>
      <c r="H29" s="129"/>
      <c r="I29" s="129"/>
      <c r="J29" s="129"/>
      <c r="K29" s="129"/>
      <c r="L29" s="129"/>
      <c r="M29" s="129"/>
      <c r="N29" s="129"/>
      <c r="O29" s="129"/>
      <c r="P29" s="40"/>
      <c r="Q29" s="129"/>
    </row>
    <row r="30" spans="1:17" hidden="1">
      <c r="A30" s="56" t="s">
        <v>296</v>
      </c>
      <c r="B30" s="129"/>
      <c r="C30" s="129"/>
      <c r="D30" s="129"/>
      <c r="E30" s="129"/>
      <c r="F30" s="129"/>
      <c r="G30" s="129"/>
      <c r="H30" s="129"/>
      <c r="I30" s="129"/>
      <c r="J30" s="129"/>
      <c r="K30" s="129"/>
      <c r="L30" s="129"/>
      <c r="M30" s="129"/>
      <c r="N30" s="129"/>
      <c r="O30" s="129"/>
      <c r="P30" s="40"/>
      <c r="Q30" s="129"/>
    </row>
    <row r="31" spans="1:17">
      <c r="A31" s="56" t="s">
        <v>569</v>
      </c>
      <c r="B31" s="176">
        <v>118.28100000000001</v>
      </c>
      <c r="C31" s="26">
        <v>121.39700000000001</v>
      </c>
      <c r="D31" s="26">
        <v>126.768</v>
      </c>
      <c r="E31" s="26">
        <v>134.18599999999998</v>
      </c>
      <c r="F31" s="26">
        <v>188.57599999999999</v>
      </c>
      <c r="G31" s="26">
        <v>190.38</v>
      </c>
      <c r="H31" s="26">
        <v>202.089</v>
      </c>
      <c r="I31" s="26">
        <v>248.70699999999999</v>
      </c>
      <c r="J31" s="26">
        <v>293.57100000000003</v>
      </c>
      <c r="K31" s="26">
        <v>347.21699999999998</v>
      </c>
      <c r="L31" s="26">
        <v>365.45</v>
      </c>
      <c r="M31" s="26">
        <v>358.38499999999999</v>
      </c>
      <c r="N31" s="26">
        <v>371.09100000000001</v>
      </c>
      <c r="O31" s="26">
        <v>389.18599999999998</v>
      </c>
      <c r="P31" s="40"/>
      <c r="Q31" s="28">
        <v>-2.5667850111617253E-2</v>
      </c>
    </row>
    <row r="32" spans="1:17">
      <c r="A32" s="56" t="s">
        <v>570</v>
      </c>
      <c r="B32" s="179">
        <v>1.0293708489478932E-2</v>
      </c>
      <c r="C32" s="40">
        <v>1.0850584230256628E-2</v>
      </c>
      <c r="D32" s="40">
        <v>1.1571283085405303E-2</v>
      </c>
      <c r="E32" s="40">
        <v>1.2423067543914385E-2</v>
      </c>
      <c r="F32" s="40">
        <v>1.755123439324675E-2</v>
      </c>
      <c r="G32" s="40">
        <v>1.8056786973163506E-2</v>
      </c>
      <c r="H32" s="40">
        <v>1.9694071372042037E-2</v>
      </c>
      <c r="I32" s="40">
        <v>2.4378370972547785E-2</v>
      </c>
      <c r="J32" s="40">
        <v>2.8453648694961753E-2</v>
      </c>
      <c r="K32" s="40">
        <v>3.3788073350571622E-2</v>
      </c>
      <c r="L32" s="40">
        <v>3.6291586737289529E-2</v>
      </c>
      <c r="M32" s="40">
        <v>3.5249660175744713E-2</v>
      </c>
      <c r="N32" s="40">
        <v>3.6107278288782914E-2</v>
      </c>
      <c r="O32" s="40">
        <v>3.7866586701597545E-2</v>
      </c>
      <c r="P32" s="40"/>
      <c r="Q32" s="40">
        <v>-5.5687574077769621E-4</v>
      </c>
    </row>
    <row r="33" spans="1:17">
      <c r="A33" s="56" t="s">
        <v>571</v>
      </c>
      <c r="B33" s="179">
        <v>1.4932404417429392</v>
      </c>
      <c r="C33" s="40">
        <v>1.4794579665006675</v>
      </c>
      <c r="D33" s="40">
        <v>1.3925053238501506</v>
      </c>
      <c r="E33" s="40">
        <v>1.2399355483467007</v>
      </c>
      <c r="F33" s="40">
        <v>0.96281973752612537</v>
      </c>
      <c r="G33" s="40">
        <v>0.91524845046748604</v>
      </c>
      <c r="H33" s="40">
        <v>0.81603649877034379</v>
      </c>
      <c r="I33" s="40">
        <v>0.70757983220341714</v>
      </c>
      <c r="J33" s="40">
        <v>0.85365795834458047</v>
      </c>
      <c r="K33" s="40">
        <v>0.77017989269411968</v>
      </c>
      <c r="L33" s="40">
        <v>0.73124083015000763</v>
      </c>
      <c r="M33" s="40">
        <v>0.76603797021470688</v>
      </c>
      <c r="N33" s="40">
        <v>0.77513299673070846</v>
      </c>
      <c r="O33" s="40">
        <v>0.72564551280465006</v>
      </c>
      <c r="P33" s="40"/>
      <c r="Q33" s="40">
        <v>1.3782475242271719E-2</v>
      </c>
    </row>
    <row r="34" spans="1:17">
      <c r="A34" s="19" t="s">
        <v>80</v>
      </c>
      <c r="B34" s="179">
        <v>0.49627438552319636</v>
      </c>
      <c r="C34" s="40">
        <v>0.49454535783527187</v>
      </c>
      <c r="D34" s="40">
        <v>0.48580908183967847</v>
      </c>
      <c r="E34" s="40">
        <v>0.49619004078165763</v>
      </c>
      <c r="F34" s="40">
        <v>0.50515337117490577</v>
      </c>
      <c r="G34" s="40">
        <v>0.50086843288517935</v>
      </c>
      <c r="H34" s="40">
        <v>0.49317744413730802</v>
      </c>
      <c r="I34" s="40">
        <v>0.50157342416303496</v>
      </c>
      <c r="J34" s="40">
        <v>0.51042428207514456</v>
      </c>
      <c r="K34" s="40">
        <v>0.51967739070828789</v>
      </c>
      <c r="L34" s="40">
        <v>0.50693690646991041</v>
      </c>
      <c r="M34" s="40">
        <v>0.51343807142969966</v>
      </c>
      <c r="N34" s="40">
        <v>0.52122149870673884</v>
      </c>
      <c r="O34" s="40">
        <v>0.52680665155623341</v>
      </c>
      <c r="P34" s="40"/>
      <c r="Q34" s="40">
        <v>1.7290276879244892E-3</v>
      </c>
    </row>
    <row r="35" spans="1:17" s="295" customFormat="1">
      <c r="A35" s="106" t="s">
        <v>522</v>
      </c>
      <c r="B35" s="293">
        <v>0.20894456160906982</v>
      </c>
      <c r="C35" s="294">
        <v>0.20473516149221285</v>
      </c>
      <c r="D35" s="294">
        <v>0.20961972834173143</v>
      </c>
      <c r="E35" s="294">
        <v>0.20249221068904191</v>
      </c>
      <c r="F35" s="294">
        <v>0.20625466112025759</v>
      </c>
      <c r="G35" s="294">
        <v>0.19733548891902705</v>
      </c>
      <c r="H35" s="294">
        <v>0.19156980034398646</v>
      </c>
      <c r="I35" s="294">
        <v>0.185521790058608</v>
      </c>
      <c r="J35" s="294">
        <v>0.18311360469588314</v>
      </c>
      <c r="K35" s="294">
        <v>0.17100000000000001</v>
      </c>
      <c r="L35" s="294">
        <v>0.17399999999999999</v>
      </c>
      <c r="M35" s="294">
        <v>0.15246852388252491</v>
      </c>
      <c r="N35" s="294">
        <v>0.156</v>
      </c>
      <c r="O35" s="294">
        <v>0.14099999999999999</v>
      </c>
      <c r="P35" s="294"/>
      <c r="Q35" s="294">
        <v>4.2094001168569706E-3</v>
      </c>
    </row>
    <row r="36" spans="1:17" s="295" customFormat="1">
      <c r="A36" s="106" t="s">
        <v>523</v>
      </c>
      <c r="B36" s="293">
        <v>0.20582058563457495</v>
      </c>
      <c r="C36" s="294">
        <v>0.20176135555400773</v>
      </c>
      <c r="D36" s="294">
        <v>0.20614976642537466</v>
      </c>
      <c r="E36" s="294">
        <v>0.19919573618054406</v>
      </c>
      <c r="F36" s="294">
        <v>0.20296124515823485</v>
      </c>
      <c r="G36" s="294">
        <v>0.19422832558329381</v>
      </c>
      <c r="H36" s="294">
        <v>0.19140933135581517</v>
      </c>
      <c r="I36" s="294">
        <v>0.1853126629271937</v>
      </c>
      <c r="J36" s="294">
        <v>0.18294048078240252</v>
      </c>
      <c r="K36" s="294">
        <v>0.17100000000000001</v>
      </c>
      <c r="L36" s="294">
        <v>0.17299999999999999</v>
      </c>
      <c r="M36" s="294">
        <v>0.15162799305819213</v>
      </c>
      <c r="N36" s="294">
        <v>0.155</v>
      </c>
      <c r="O36" s="294">
        <v>0.14099999999999999</v>
      </c>
      <c r="P36" s="294"/>
      <c r="Q36" s="294">
        <v>4.0592300805672166E-3</v>
      </c>
    </row>
    <row r="37" spans="1:17" s="295" customFormat="1">
      <c r="A37" s="106" t="s">
        <v>524</v>
      </c>
      <c r="B37" s="293">
        <v>0.25807380682380188</v>
      </c>
      <c r="C37" s="294">
        <v>0.25340556674011888</v>
      </c>
      <c r="D37" s="294">
        <v>0.25903052209545591</v>
      </c>
      <c r="E37" s="294">
        <v>0.25173212854458848</v>
      </c>
      <c r="F37" s="294">
        <v>0.2583348638449085</v>
      </c>
      <c r="G37" s="294">
        <v>0.24799701939690907</v>
      </c>
      <c r="H37" s="294">
        <v>0.24022530234528189</v>
      </c>
      <c r="I37" s="294">
        <v>0.23740815482999197</v>
      </c>
      <c r="J37" s="294">
        <v>0.23349066647295513</v>
      </c>
      <c r="K37" s="294">
        <v>0.22</v>
      </c>
      <c r="L37" s="294">
        <v>0.224</v>
      </c>
      <c r="M37" s="294">
        <v>0.20393649330141905</v>
      </c>
      <c r="N37" s="294">
        <v>0.20699999999999999</v>
      </c>
      <c r="O37" s="294">
        <v>0.193</v>
      </c>
      <c r="P37" s="294"/>
      <c r="Q37" s="294">
        <v>4.6682400836829951E-3</v>
      </c>
    </row>
    <row r="38" spans="1:17">
      <c r="A38" s="19" t="s">
        <v>449</v>
      </c>
      <c r="B38" s="179">
        <v>9.959312853016862E-2</v>
      </c>
      <c r="C38" s="40">
        <v>0.10440881474097309</v>
      </c>
      <c r="D38" s="40">
        <v>0.10073584094763158</v>
      </c>
      <c r="E38" s="40">
        <v>9.9584633938228681E-2</v>
      </c>
      <c r="F38" s="40">
        <v>0.10134126055984168</v>
      </c>
      <c r="G38" s="40">
        <v>0.10702906260297926</v>
      </c>
      <c r="H38" s="40">
        <v>0.1042202303438242</v>
      </c>
      <c r="I38" s="40">
        <v>0.10372438397848557</v>
      </c>
      <c r="J38" s="40">
        <v>0.1005921137505368</v>
      </c>
      <c r="K38" s="40">
        <v>0.10241367939231387</v>
      </c>
      <c r="L38" s="40">
        <v>9.0820656990646648E-2</v>
      </c>
      <c r="M38" s="40">
        <v>8.7105459294758741E-2</v>
      </c>
      <c r="N38" s="40">
        <v>8.4508547046579938E-2</v>
      </c>
      <c r="O38" s="40">
        <v>8.243005915608366E-2</v>
      </c>
      <c r="P38" s="40"/>
      <c r="Q38" s="40">
        <v>-4.8156862108044707E-3</v>
      </c>
    </row>
    <row r="39" spans="1:17">
      <c r="A39" s="24"/>
      <c r="B39" s="24"/>
      <c r="C39" s="24"/>
      <c r="D39" s="24"/>
      <c r="E39" s="24"/>
      <c r="F39" s="24"/>
      <c r="G39" s="24"/>
      <c r="H39" s="24"/>
      <c r="I39" s="24"/>
      <c r="J39" s="24"/>
      <c r="K39" s="24"/>
      <c r="L39" s="24"/>
      <c r="M39" s="24"/>
      <c r="N39" s="24"/>
      <c r="O39" s="24"/>
      <c r="P39" s="57"/>
      <c r="Q39" s="57"/>
    </row>
    <row r="40" spans="1:17">
      <c r="A40" s="21" t="s">
        <v>4</v>
      </c>
      <c r="B40" s="21"/>
      <c r="C40" s="21"/>
      <c r="D40" s="21"/>
      <c r="E40" s="21"/>
      <c r="F40" s="21"/>
      <c r="G40" s="21"/>
      <c r="H40" s="21"/>
      <c r="I40" s="21"/>
      <c r="J40" s="21"/>
      <c r="K40" s="21"/>
      <c r="L40" s="21"/>
      <c r="M40" s="21"/>
      <c r="N40" s="21"/>
      <c r="O40" s="21"/>
      <c r="P40" s="36"/>
      <c r="Q40" s="36"/>
    </row>
    <row r="41" spans="1:17">
      <c r="A41" s="38" t="s">
        <v>564</v>
      </c>
      <c r="B41" s="197">
        <v>251.78399999999999</v>
      </c>
      <c r="C41" s="222">
        <v>120.79599999999999</v>
      </c>
      <c r="D41" s="222">
        <v>480.56000000000006</v>
      </c>
      <c r="E41" s="222">
        <v>353.01499999999999</v>
      </c>
      <c r="F41" s="222">
        <v>234.63800000000001</v>
      </c>
      <c r="G41" s="222">
        <v>116.965</v>
      </c>
      <c r="H41" s="222">
        <v>508.17399999999998</v>
      </c>
      <c r="I41" s="222">
        <v>400.61099999999999</v>
      </c>
      <c r="J41" s="222">
        <v>270.35199999999998</v>
      </c>
      <c r="K41" s="222">
        <v>132.82599999999999</v>
      </c>
      <c r="L41" s="222">
        <v>487.21</v>
      </c>
      <c r="M41" s="222">
        <v>349.36400000000003</v>
      </c>
      <c r="N41" s="222">
        <v>220.24799999999999</v>
      </c>
      <c r="O41" s="222">
        <v>94.728999999999999</v>
      </c>
      <c r="P41" s="57"/>
      <c r="Q41" s="28">
        <v>3.6428889105581397E-2</v>
      </c>
    </row>
    <row r="42" spans="1:17">
      <c r="A42" s="38" t="s">
        <v>572</v>
      </c>
      <c r="B42" s="176">
        <v>435677.54459640884</v>
      </c>
      <c r="C42" s="26">
        <v>435546.47722555551</v>
      </c>
      <c r="D42" s="26">
        <v>437004.80840479454</v>
      </c>
      <c r="E42" s="26">
        <v>437518.77791703294</v>
      </c>
      <c r="F42" s="26">
        <v>438527.54319861875</v>
      </c>
      <c r="G42" s="26">
        <v>440081.02821666666</v>
      </c>
      <c r="H42" s="26">
        <v>444089.65813305997</v>
      </c>
      <c r="I42" s="26">
        <v>445081.32840620406</v>
      </c>
      <c r="J42" s="26">
        <v>445759.63232912088</v>
      </c>
      <c r="K42" s="26">
        <v>446057.74794999999</v>
      </c>
      <c r="L42" s="26">
        <v>446057.74794999999</v>
      </c>
      <c r="M42" s="26">
        <v>446057.74794999999</v>
      </c>
      <c r="N42" s="26">
        <v>446057.74794999999</v>
      </c>
      <c r="O42" s="26">
        <v>446057.74794999999</v>
      </c>
      <c r="P42" s="57"/>
      <c r="Q42" s="28">
        <v>3.009262563394653E-4</v>
      </c>
    </row>
    <row r="43" spans="1:17" ht="24">
      <c r="A43" s="61" t="s">
        <v>454</v>
      </c>
      <c r="B43" s="296">
        <v>57.791513226254267</v>
      </c>
      <c r="C43" s="297">
        <v>27.734484481114841</v>
      </c>
      <c r="D43" s="297">
        <v>109.96346496101151</v>
      </c>
      <c r="E43" s="297">
        <v>80.684994050701135</v>
      </c>
      <c r="F43" s="297">
        <v>53.505883639539299</v>
      </c>
      <c r="G43" s="297">
        <v>26.57809423347064</v>
      </c>
      <c r="H43" s="297">
        <v>114.43368711053286</v>
      </c>
      <c r="I43" s="297">
        <v>90.008158408196508</v>
      </c>
      <c r="J43" s="297">
        <v>60.649874715069259</v>
      </c>
      <c r="K43" s="297">
        <v>29.77</v>
      </c>
      <c r="L43" s="297">
        <v>109.23</v>
      </c>
      <c r="M43" s="297">
        <v>78.319999999999993</v>
      </c>
      <c r="N43" s="297">
        <v>49.38</v>
      </c>
      <c r="O43" s="39">
        <v>21.24</v>
      </c>
      <c r="P43" s="57"/>
      <c r="Q43" s="28">
        <v>3.6114861573627033E-2</v>
      </c>
    </row>
    <row r="44" spans="1:17" ht="24">
      <c r="A44" s="61" t="s">
        <v>455</v>
      </c>
      <c r="B44" s="296">
        <v>57.595970359250572</v>
      </c>
      <c r="C44" s="297">
        <v>27.629982459961987</v>
      </c>
      <c r="D44" s="297">
        <v>109.57296101724117</v>
      </c>
      <c r="E44" s="297">
        <v>80.39639825476705</v>
      </c>
      <c r="F44" s="297">
        <v>53.31638369004822</v>
      </c>
      <c r="G44" s="297">
        <v>26.48848846463261</v>
      </c>
      <c r="H44" s="297">
        <v>114.02353980175666</v>
      </c>
      <c r="I44" s="297">
        <v>89.694244391035042</v>
      </c>
      <c r="J44" s="297">
        <v>60.440038640464678</v>
      </c>
      <c r="K44" s="297">
        <v>29.681652895481015</v>
      </c>
      <c r="L44" s="297">
        <v>108.95692824972517</v>
      </c>
      <c r="M44" s="297">
        <v>78.129830493176627</v>
      </c>
      <c r="N44" s="297">
        <v>49.255004743804193</v>
      </c>
      <c r="O44" s="39">
        <v>21.184686974009118</v>
      </c>
      <c r="P44" s="57"/>
      <c r="Q44" s="28">
        <v>3.6514602592676387E-2</v>
      </c>
    </row>
    <row r="45" spans="1:17">
      <c r="A45" s="24"/>
      <c r="B45" s="57"/>
      <c r="C45" s="57"/>
      <c r="D45" s="57"/>
      <c r="E45" s="57"/>
      <c r="F45" s="57"/>
      <c r="G45" s="57"/>
      <c r="H45" s="57"/>
      <c r="I45" s="57"/>
      <c r="J45" s="57"/>
      <c r="K45" s="57"/>
      <c r="L45" s="57"/>
      <c r="M45" s="57"/>
      <c r="N45" s="57"/>
      <c r="O45" s="57"/>
      <c r="P45" s="57"/>
      <c r="Q45" s="57"/>
    </row>
    <row r="46" spans="1:17">
      <c r="A46" s="62" t="s">
        <v>453</v>
      </c>
      <c r="B46" s="64"/>
      <c r="C46" s="64"/>
      <c r="D46" s="64"/>
      <c r="E46" s="64"/>
      <c r="F46" s="64"/>
      <c r="G46" s="64"/>
      <c r="H46" s="64"/>
      <c r="I46" s="64"/>
      <c r="J46" s="64"/>
      <c r="K46" s="64"/>
      <c r="L46" s="64"/>
      <c r="M46" s="64"/>
      <c r="N46" s="64"/>
      <c r="O46" s="64"/>
      <c r="P46" s="64"/>
      <c r="Q46" s="64"/>
    </row>
    <row r="47" spans="1:17">
      <c r="A47" s="65" t="s">
        <v>81</v>
      </c>
      <c r="B47" s="253">
        <v>0</v>
      </c>
      <c r="C47" s="60">
        <v>0</v>
      </c>
      <c r="D47" s="60">
        <v>0</v>
      </c>
      <c r="E47" s="60">
        <v>0</v>
      </c>
      <c r="F47" s="60">
        <v>0</v>
      </c>
      <c r="G47" s="60">
        <v>0</v>
      </c>
      <c r="H47" s="60">
        <v>0</v>
      </c>
      <c r="I47" s="60">
        <v>0</v>
      </c>
      <c r="J47" s="60">
        <v>0</v>
      </c>
      <c r="K47" s="60">
        <v>310.30799999999999</v>
      </c>
      <c r="L47" s="60">
        <v>2043.8679999999999</v>
      </c>
      <c r="M47" s="60">
        <v>2023.424</v>
      </c>
      <c r="N47" s="60">
        <v>2004.48</v>
      </c>
      <c r="O47" s="60">
        <v>1988.452</v>
      </c>
      <c r="P47" s="60"/>
      <c r="Q47" s="28">
        <v>0</v>
      </c>
    </row>
    <row r="48" spans="1:17">
      <c r="A48" s="65" t="s">
        <v>565</v>
      </c>
      <c r="B48" s="265">
        <v>3.05</v>
      </c>
      <c r="C48" s="269">
        <v>3.0640000000000001</v>
      </c>
      <c r="D48" s="269">
        <v>3.21</v>
      </c>
      <c r="E48" s="269">
        <v>3.1269999999999998</v>
      </c>
      <c r="F48" s="269">
        <v>3.044</v>
      </c>
      <c r="G48" s="269">
        <v>3.2984</v>
      </c>
      <c r="H48" s="269">
        <v>3.0869</v>
      </c>
      <c r="I48" s="269">
        <v>3.1240000000000001</v>
      </c>
      <c r="J48" s="269">
        <v>3.0394999999999999</v>
      </c>
      <c r="K48" s="269">
        <v>3.1457999999999999</v>
      </c>
      <c r="L48" s="269">
        <v>3.5945999999999998</v>
      </c>
      <c r="M48" s="269">
        <v>3.5034999999999998</v>
      </c>
      <c r="N48" s="269">
        <v>3.1640999999999999</v>
      </c>
      <c r="O48" s="269">
        <v>3.0284</v>
      </c>
      <c r="P48" s="60"/>
      <c r="Q48" s="40">
        <v>-1.4000000000000234E-2</v>
      </c>
    </row>
    <row r="49" spans="1:18">
      <c r="A49" s="65" t="s">
        <v>82</v>
      </c>
      <c r="B49" s="265">
        <v>1.82</v>
      </c>
      <c r="C49" s="269">
        <v>1.74</v>
      </c>
      <c r="D49" s="269">
        <v>1.71</v>
      </c>
      <c r="E49" s="269">
        <v>1.6852</v>
      </c>
      <c r="F49" s="269">
        <v>1.6930000000000001</v>
      </c>
      <c r="G49" s="269">
        <v>1.6</v>
      </c>
      <c r="H49" s="269">
        <v>1.6234</v>
      </c>
      <c r="I49" s="269">
        <v>1.5745</v>
      </c>
      <c r="J49" s="269">
        <v>1.5639000000000001</v>
      </c>
      <c r="K49" s="269">
        <v>1.5527</v>
      </c>
      <c r="L49" s="269">
        <v>1.5848</v>
      </c>
      <c r="M49" s="269">
        <v>1.6163000000000001</v>
      </c>
      <c r="N49" s="269">
        <v>1.6519999999999999</v>
      </c>
      <c r="O49" s="269">
        <v>1.6</v>
      </c>
      <c r="P49" s="60"/>
      <c r="Q49" s="40">
        <v>8.0000000000000071E-2</v>
      </c>
    </row>
    <row r="50" spans="1:18">
      <c r="A50" s="66"/>
      <c r="B50" s="67"/>
      <c r="C50" s="67"/>
      <c r="D50" s="67"/>
      <c r="E50" s="67"/>
      <c r="F50" s="67"/>
      <c r="G50" s="67"/>
      <c r="H50" s="67"/>
      <c r="I50" s="67"/>
      <c r="J50" s="67"/>
      <c r="K50" s="67"/>
      <c r="L50" s="67"/>
      <c r="M50" s="67"/>
      <c r="N50" s="67"/>
      <c r="O50" s="67"/>
      <c r="P50" s="60"/>
      <c r="Q50" s="60"/>
    </row>
    <row r="51" spans="1:18">
      <c r="A51" s="62" t="s">
        <v>83</v>
      </c>
      <c r="B51" s="63"/>
      <c r="C51" s="63"/>
      <c r="D51" s="63"/>
      <c r="E51" s="63"/>
      <c r="F51" s="63"/>
      <c r="G51" s="63"/>
      <c r="H51" s="63"/>
      <c r="I51" s="63"/>
      <c r="J51" s="63"/>
      <c r="K51" s="63"/>
      <c r="L51" s="63"/>
      <c r="M51" s="63"/>
      <c r="N51" s="63"/>
      <c r="O51" s="63"/>
      <c r="P51" s="68"/>
      <c r="Q51" s="68"/>
    </row>
    <row r="52" spans="1:18">
      <c r="A52" s="69" t="s">
        <v>84</v>
      </c>
      <c r="B52" s="70"/>
      <c r="C52" s="70"/>
      <c r="D52" s="70"/>
      <c r="E52" s="70"/>
      <c r="F52" s="70"/>
      <c r="G52" s="70"/>
      <c r="H52" s="70"/>
      <c r="I52" s="70"/>
      <c r="J52" s="70"/>
      <c r="K52" s="70"/>
      <c r="L52" s="70"/>
      <c r="M52" s="70"/>
      <c r="N52" s="70"/>
      <c r="O52" s="70"/>
      <c r="P52" s="71"/>
      <c r="Q52" s="71"/>
    </row>
    <row r="53" spans="1:18">
      <c r="A53" s="65" t="s">
        <v>85</v>
      </c>
      <c r="B53" s="253">
        <v>12390.264999999999</v>
      </c>
      <c r="C53" s="60">
        <v>11974.325999999999</v>
      </c>
      <c r="D53" s="60">
        <v>12036.916999999999</v>
      </c>
      <c r="E53" s="60">
        <v>11472.885</v>
      </c>
      <c r="F53" s="60">
        <v>11361.921</v>
      </c>
      <c r="G53" s="60">
        <v>10763.084000000001</v>
      </c>
      <c r="H53" s="60">
        <v>10737.484</v>
      </c>
      <c r="I53" s="60">
        <v>10377.994000000001</v>
      </c>
      <c r="J53" s="60">
        <v>10297.855</v>
      </c>
      <c r="K53" s="60">
        <v>9999.8529999999992</v>
      </c>
      <c r="L53" s="60">
        <v>10167.621999999999</v>
      </c>
      <c r="M53" s="60">
        <v>10376.781000000001</v>
      </c>
      <c r="N53" s="60">
        <v>10359.754999999999</v>
      </c>
      <c r="O53" s="60">
        <v>10398.585999999999</v>
      </c>
      <c r="P53" s="60"/>
      <c r="Q53" s="28">
        <v>3.4735900793080157E-2</v>
      </c>
    </row>
    <row r="54" spans="1:18">
      <c r="A54" s="65" t="s">
        <v>86</v>
      </c>
      <c r="B54" s="254">
        <v>3493.297</v>
      </c>
      <c r="C54" s="234">
        <v>3415.1039999999998</v>
      </c>
      <c r="D54" s="234">
        <v>3402.6419999999998</v>
      </c>
      <c r="E54" s="234">
        <v>3273.3629999999998</v>
      </c>
      <c r="F54" s="234">
        <v>3212.4479999999999</v>
      </c>
      <c r="G54" s="234">
        <v>3106.3249999999998</v>
      </c>
      <c r="H54" s="234">
        <v>3091.4749999999999</v>
      </c>
      <c r="I54" s="234">
        <v>2985.9789999999998</v>
      </c>
      <c r="J54" s="234">
        <v>2995.7759999999998</v>
      </c>
      <c r="K54" s="234">
        <v>2948.6390000000001</v>
      </c>
      <c r="L54" s="234">
        <v>2979.2750000000001</v>
      </c>
      <c r="M54" s="234">
        <v>2933.7440000000001</v>
      </c>
      <c r="N54" s="234">
        <v>2948.8229999999999</v>
      </c>
      <c r="O54" s="234">
        <v>2888.6819999999998</v>
      </c>
      <c r="P54" s="60"/>
      <c r="Q54" s="28">
        <v>2.2896228050448893E-2</v>
      </c>
    </row>
    <row r="55" spans="1:18">
      <c r="A55" s="65" t="s">
        <v>87</v>
      </c>
      <c r="B55" s="254">
        <v>6914.2879999999996</v>
      </c>
      <c r="C55" s="234">
        <v>6870.1419999999998</v>
      </c>
      <c r="D55" s="234">
        <v>6747.9059999999999</v>
      </c>
      <c r="E55" s="234">
        <v>6709.2309999999998</v>
      </c>
      <c r="F55" s="234">
        <v>6328.7439999999997</v>
      </c>
      <c r="G55" s="234">
        <v>6832.9520000000002</v>
      </c>
      <c r="H55" s="234">
        <v>6690.317</v>
      </c>
      <c r="I55" s="234">
        <v>6624.5789999999997</v>
      </c>
      <c r="J55" s="234">
        <v>6429.0609999999997</v>
      </c>
      <c r="K55" s="234">
        <v>6311.3959999999997</v>
      </c>
      <c r="L55" s="234">
        <v>6190.018</v>
      </c>
      <c r="M55" s="234">
        <v>5956.62</v>
      </c>
      <c r="N55" s="234">
        <v>5857.5770000000002</v>
      </c>
      <c r="O55" s="234">
        <v>5686.3209999999999</v>
      </c>
      <c r="P55" s="60"/>
      <c r="Q55" s="28">
        <v>6.4257769344505155E-3</v>
      </c>
    </row>
    <row r="56" spans="1:18" ht="15.75" thickBot="1">
      <c r="A56" s="65"/>
      <c r="B56" s="223">
        <v>22797.85</v>
      </c>
      <c r="C56" s="223">
        <v>22259.572</v>
      </c>
      <c r="D56" s="223">
        <v>22187.465</v>
      </c>
      <c r="E56" s="223">
        <v>21455.478999999999</v>
      </c>
      <c r="F56" s="223">
        <v>20903.113000000001</v>
      </c>
      <c r="G56" s="223">
        <v>20702.361000000001</v>
      </c>
      <c r="H56" s="223">
        <v>20519.276000000002</v>
      </c>
      <c r="I56" s="223">
        <v>19988.552</v>
      </c>
      <c r="J56" s="223">
        <v>19722.691999999999</v>
      </c>
      <c r="K56" s="223">
        <v>19259.887999999999</v>
      </c>
      <c r="L56" s="223">
        <v>19336.915000000001</v>
      </c>
      <c r="M56" s="223">
        <v>19267.145</v>
      </c>
      <c r="N56" s="223">
        <v>19166.154999999999</v>
      </c>
      <c r="O56" s="223">
        <v>18973.589</v>
      </c>
      <c r="P56" s="60"/>
      <c r="Q56" s="160">
        <v>2.418186656958177E-2</v>
      </c>
    </row>
    <row r="57" spans="1:18" ht="15.75" thickTop="1">
      <c r="A57" s="66" t="s">
        <v>573</v>
      </c>
      <c r="B57" s="319"/>
      <c r="C57" s="215"/>
      <c r="D57" s="215"/>
      <c r="E57" s="215"/>
      <c r="F57" s="215"/>
      <c r="G57" s="215"/>
      <c r="H57" s="215"/>
      <c r="I57" s="215"/>
      <c r="J57" s="215"/>
      <c r="K57" s="215"/>
      <c r="L57" s="215"/>
      <c r="M57" s="215"/>
      <c r="N57" s="215"/>
      <c r="O57" s="215"/>
      <c r="P57" s="154"/>
      <c r="Q57" s="154"/>
      <c r="R57" s="154"/>
    </row>
    <row r="58" spans="1:18">
      <c r="A58" s="154" t="s">
        <v>102</v>
      </c>
      <c r="B58" s="253">
        <v>18576.460999999999</v>
      </c>
      <c r="C58" s="60">
        <v>18113.967000000001</v>
      </c>
      <c r="D58" s="60">
        <v>18088.884000000002</v>
      </c>
      <c r="E58" s="60">
        <v>17394.849784271995</v>
      </c>
      <c r="F58" s="60">
        <v>16930.801717343184</v>
      </c>
      <c r="G58" s="60">
        <v>16550.702000000001</v>
      </c>
      <c r="H58" s="60">
        <v>16422.0892278346</v>
      </c>
      <c r="I58" s="60">
        <v>16104.178039079501</v>
      </c>
      <c r="J58" s="60">
        <v>15798.934999999999</v>
      </c>
      <c r="K58" s="60">
        <v>15287.430999999999</v>
      </c>
      <c r="L58" s="60">
        <v>15355.445</v>
      </c>
      <c r="M58" s="129"/>
      <c r="N58" s="129"/>
      <c r="O58" s="129"/>
      <c r="P58" s="154"/>
      <c r="Q58" s="28">
        <v>2.5532452388811282E-2</v>
      </c>
      <c r="R58" s="154"/>
    </row>
    <row r="59" spans="1:18">
      <c r="A59" s="154" t="s">
        <v>355</v>
      </c>
      <c r="B59" s="253">
        <v>1434.5409999999999</v>
      </c>
      <c r="C59" s="60">
        <v>1438.3869999999999</v>
      </c>
      <c r="D59" s="60">
        <v>1518.29</v>
      </c>
      <c r="E59" s="60">
        <v>1521.9175497519</v>
      </c>
      <c r="F59" s="60">
        <v>1503.2420322964599</v>
      </c>
      <c r="G59" s="60">
        <v>1527.4269999999999</v>
      </c>
      <c r="H59" s="60">
        <v>1558.4815264695999</v>
      </c>
      <c r="I59" s="60">
        <v>1501.14899528927</v>
      </c>
      <c r="J59" s="60">
        <v>1509.0329999999999</v>
      </c>
      <c r="K59" s="60">
        <v>1486.3630000000001</v>
      </c>
      <c r="L59" s="60">
        <v>1473.491</v>
      </c>
      <c r="M59" s="129"/>
      <c r="N59" s="129"/>
      <c r="O59" s="129"/>
      <c r="P59" s="154"/>
      <c r="Q59" s="28">
        <v>-2.6738283924979882E-3</v>
      </c>
      <c r="R59" s="154"/>
    </row>
    <row r="60" spans="1:18">
      <c r="A60" s="154" t="s">
        <v>88</v>
      </c>
      <c r="B60" s="253">
        <v>432.72500000000002</v>
      </c>
      <c r="C60" s="60">
        <v>417.65600000000001</v>
      </c>
      <c r="D60" s="60">
        <v>401.28199999999998</v>
      </c>
      <c r="E60" s="60">
        <v>380.73726095903703</v>
      </c>
      <c r="F60" s="60">
        <v>383.62098660120301</v>
      </c>
      <c r="G60" s="60">
        <v>372.94299999999998</v>
      </c>
      <c r="H60" s="60">
        <v>396.97190873798701</v>
      </c>
      <c r="I60" s="60">
        <v>415.19052126731998</v>
      </c>
      <c r="J60" s="60">
        <v>415.09500000000003</v>
      </c>
      <c r="K60" s="60">
        <v>398.41800000000001</v>
      </c>
      <c r="L60" s="60">
        <v>386.05700000000002</v>
      </c>
      <c r="M60" s="129"/>
      <c r="N60" s="129"/>
      <c r="O60" s="129"/>
      <c r="P60" s="154"/>
      <c r="Q60" s="28">
        <v>3.6079931809910586E-2</v>
      </c>
      <c r="R60" s="154"/>
    </row>
    <row r="61" spans="1:18">
      <c r="A61" s="154" t="s">
        <v>356</v>
      </c>
      <c r="B61" s="253">
        <v>122.26900000000001</v>
      </c>
      <c r="C61" s="60">
        <v>108.825</v>
      </c>
      <c r="D61" s="60">
        <v>130.57400000000001</v>
      </c>
      <c r="E61" s="60">
        <v>125.23059831364401</v>
      </c>
      <c r="F61" s="60">
        <v>120.071618226987</v>
      </c>
      <c r="G61" s="60">
        <v>131.708</v>
      </c>
      <c r="H61" s="60">
        <v>129.82304619463901</v>
      </c>
      <c r="I61" s="60">
        <v>123.922585561085</v>
      </c>
      <c r="J61" s="60">
        <v>146.429</v>
      </c>
      <c r="K61" s="60">
        <v>163.70500000000001</v>
      </c>
      <c r="L61" s="60">
        <v>166.673</v>
      </c>
      <c r="M61" s="129"/>
      <c r="N61" s="129"/>
      <c r="O61" s="129"/>
      <c r="P61" s="154"/>
      <c r="Q61" s="28">
        <v>0.12353779002986448</v>
      </c>
      <c r="R61" s="154"/>
    </row>
    <row r="62" spans="1:18">
      <c r="A62" s="154" t="s">
        <v>357</v>
      </c>
      <c r="B62" s="253">
        <v>71.584999999999994</v>
      </c>
      <c r="C62" s="60">
        <v>75.477000000000004</v>
      </c>
      <c r="D62" s="60">
        <v>73.415999999999997</v>
      </c>
      <c r="E62" s="60">
        <v>69.555479266630897</v>
      </c>
      <c r="F62" s="60">
        <v>72.519659774292904</v>
      </c>
      <c r="G62" s="60">
        <v>81.319999999999993</v>
      </c>
      <c r="H62" s="60">
        <v>80.796005298128392</v>
      </c>
      <c r="I62" s="60">
        <v>75.539193828240201</v>
      </c>
      <c r="J62" s="60">
        <v>72.921000000000006</v>
      </c>
      <c r="K62" s="60">
        <v>76.700999999999993</v>
      </c>
      <c r="L62" s="60">
        <v>77.287999999999997</v>
      </c>
      <c r="M62" s="129"/>
      <c r="N62" s="129"/>
      <c r="O62" s="129"/>
      <c r="P62" s="154"/>
      <c r="Q62" s="28">
        <v>-5.1565377532228493E-2</v>
      </c>
      <c r="R62" s="154"/>
    </row>
    <row r="63" spans="1:18">
      <c r="A63" s="154" t="s">
        <v>148</v>
      </c>
      <c r="B63" s="253">
        <v>25.686</v>
      </c>
      <c r="C63" s="60">
        <v>21.92</v>
      </c>
      <c r="D63" s="60">
        <v>26.34</v>
      </c>
      <c r="E63" s="60">
        <v>24.389791426666402</v>
      </c>
      <c r="F63" s="60">
        <v>25.9509485028962</v>
      </c>
      <c r="G63" s="60">
        <v>26.856999999999999</v>
      </c>
      <c r="H63" s="60">
        <v>38.408212933194399</v>
      </c>
      <c r="I63" s="60">
        <v>40.442965104436595</v>
      </c>
      <c r="J63" s="60">
        <v>24.853000000000002</v>
      </c>
      <c r="K63" s="60">
        <v>25.79</v>
      </c>
      <c r="L63" s="60">
        <v>29.728999999999999</v>
      </c>
      <c r="M63" s="129"/>
      <c r="N63" s="129"/>
      <c r="O63" s="129"/>
      <c r="P63" s="154"/>
      <c r="Q63" s="28">
        <v>0.1718065693430656</v>
      </c>
      <c r="R63" s="154"/>
    </row>
    <row r="64" spans="1:18">
      <c r="A64" s="154" t="s">
        <v>182</v>
      </c>
      <c r="B64" s="253">
        <v>69.311999999999998</v>
      </c>
      <c r="C64" s="60">
        <v>79.328999999999994</v>
      </c>
      <c r="D64" s="60">
        <v>79.623999999999995</v>
      </c>
      <c r="E64" s="60">
        <v>84.777402543631297</v>
      </c>
      <c r="F64" s="60">
        <v>76.730176098782408</v>
      </c>
      <c r="G64" s="60">
        <v>80.278000000000006</v>
      </c>
      <c r="H64" s="60">
        <v>88.70994166812541</v>
      </c>
      <c r="I64" s="60">
        <v>91.075797542612293</v>
      </c>
      <c r="J64" s="60">
        <v>98.498999999999995</v>
      </c>
      <c r="K64" s="60">
        <v>108.76</v>
      </c>
      <c r="L64" s="60">
        <v>128.489</v>
      </c>
      <c r="M64" s="129"/>
      <c r="N64" s="129"/>
      <c r="O64" s="129"/>
      <c r="P64" s="154"/>
      <c r="Q64" s="28">
        <v>-0.12627160307075591</v>
      </c>
      <c r="R64" s="154"/>
    </row>
    <row r="65" spans="1:18">
      <c r="A65" s="154" t="s">
        <v>358</v>
      </c>
      <c r="B65" s="253">
        <v>237.6</v>
      </c>
      <c r="C65" s="60">
        <v>198.43100000000001</v>
      </c>
      <c r="D65" s="60">
        <v>208.89099999999999</v>
      </c>
      <c r="E65" s="60">
        <v>198.97519888055399</v>
      </c>
      <c r="F65" s="60">
        <v>176.967249970919</v>
      </c>
      <c r="G65" s="60">
        <v>195.815</v>
      </c>
      <c r="H65" s="60">
        <v>212.66192595290499</v>
      </c>
      <c r="I65" s="60">
        <v>197.332297050222</v>
      </c>
      <c r="J65" s="60">
        <v>197.37100000000001</v>
      </c>
      <c r="K65" s="60">
        <v>207.38200000000001</v>
      </c>
      <c r="L65" s="60">
        <v>183.316</v>
      </c>
      <c r="M65" s="129"/>
      <c r="N65" s="129"/>
      <c r="O65" s="129"/>
      <c r="P65" s="154"/>
      <c r="Q65" s="28">
        <v>0.1973935524187248</v>
      </c>
      <c r="R65" s="154"/>
    </row>
    <row r="66" spans="1:18">
      <c r="A66" s="154" t="s">
        <v>359</v>
      </c>
      <c r="B66" s="253">
        <v>1.093</v>
      </c>
      <c r="C66" s="60">
        <v>1.391</v>
      </c>
      <c r="D66" s="60">
        <v>1.4279999999999999</v>
      </c>
      <c r="E66" s="60">
        <v>1.4335074130369001</v>
      </c>
      <c r="F66" s="60">
        <v>1.4376123067347</v>
      </c>
      <c r="G66" s="60">
        <v>1.4710000000000001</v>
      </c>
      <c r="H66" s="60">
        <v>1.5833022171705</v>
      </c>
      <c r="I66" s="60">
        <v>1.7074808280102001</v>
      </c>
      <c r="J66" s="60">
        <v>2.766</v>
      </c>
      <c r="K66" s="60">
        <v>3.4260000000000002</v>
      </c>
      <c r="L66" s="60">
        <v>3.762</v>
      </c>
      <c r="M66" s="129"/>
      <c r="N66" s="129"/>
      <c r="O66" s="129"/>
      <c r="P66" s="154"/>
      <c r="Q66" s="28">
        <v>-0.21423436376707408</v>
      </c>
      <c r="R66" s="154"/>
    </row>
    <row r="67" spans="1:18">
      <c r="A67" s="154" t="s">
        <v>360</v>
      </c>
      <c r="B67" s="253">
        <v>245.458</v>
      </c>
      <c r="C67" s="60">
        <v>227.50800000000001</v>
      </c>
      <c r="D67" s="60">
        <v>230.29400000000001</v>
      </c>
      <c r="E67" s="60">
        <v>233.91918905201501</v>
      </c>
      <c r="F67" s="60">
        <v>211.41550763148999</v>
      </c>
      <c r="G67" s="60">
        <v>320.33600000000001</v>
      </c>
      <c r="H67" s="60">
        <v>214.54739992982101</v>
      </c>
      <c r="I67" s="60">
        <v>181.842729904284</v>
      </c>
      <c r="J67" s="60">
        <v>174.65700000000001</v>
      </c>
      <c r="K67" s="60">
        <v>169.703</v>
      </c>
      <c r="L67" s="60">
        <v>195.58</v>
      </c>
      <c r="M67" s="129"/>
      <c r="N67" s="129"/>
      <c r="O67" s="129"/>
      <c r="P67" s="154"/>
      <c r="Q67" s="28">
        <v>7.8898324454524618E-2</v>
      </c>
      <c r="R67" s="154"/>
    </row>
    <row r="68" spans="1:18">
      <c r="A68" s="154" t="s">
        <v>361</v>
      </c>
      <c r="B68" s="253">
        <v>1581.1200000000001</v>
      </c>
      <c r="C68" s="60">
        <v>1576.681</v>
      </c>
      <c r="D68" s="60">
        <v>1428.442</v>
      </c>
      <c r="E68" s="60">
        <v>1419.6932380020066</v>
      </c>
      <c r="F68" s="60">
        <v>1400.3554912262612</v>
      </c>
      <c r="G68" s="60">
        <v>1413.5039999999999</v>
      </c>
      <c r="H68" s="60">
        <v>1375.2035022944908</v>
      </c>
      <c r="I68" s="60">
        <v>1256.171395018154</v>
      </c>
      <c r="J68" s="60">
        <v>1282.133</v>
      </c>
      <c r="K68" s="60">
        <v>1332.2090000000001</v>
      </c>
      <c r="L68" s="60">
        <v>1337.085</v>
      </c>
      <c r="M68" s="129"/>
      <c r="N68" s="129"/>
      <c r="O68" s="129"/>
      <c r="P68" s="154"/>
      <c r="Q68" s="28">
        <v>2.8154078091890992E-3</v>
      </c>
      <c r="R68" s="154"/>
    </row>
    <row r="69" spans="1:18" ht="15.75" thickBot="1">
      <c r="A69" s="154"/>
      <c r="B69" s="223">
        <v>22797.85</v>
      </c>
      <c r="C69" s="223">
        <v>22259.572</v>
      </c>
      <c r="D69" s="223">
        <v>22187.465000000004</v>
      </c>
      <c r="E69" s="223">
        <v>21455.478999881117</v>
      </c>
      <c r="F69" s="223">
        <v>20903.112999979214</v>
      </c>
      <c r="G69" s="223">
        <v>20702.360999999997</v>
      </c>
      <c r="H69" s="223">
        <v>20519.275999530662</v>
      </c>
      <c r="I69" s="223">
        <v>19988.552000473141</v>
      </c>
      <c r="J69" s="223">
        <v>19722.691999999999</v>
      </c>
      <c r="K69" s="223">
        <v>19259.888000000003</v>
      </c>
      <c r="L69" s="223">
        <v>19336.915000000001</v>
      </c>
      <c r="M69" s="129"/>
      <c r="N69" s="129"/>
      <c r="O69" s="129"/>
      <c r="P69" s="154"/>
      <c r="Q69" s="28">
        <v>2.418186656958177E-2</v>
      </c>
      <c r="R69" s="154"/>
    </row>
    <row r="70" spans="1:18" ht="15.75" thickTop="1">
      <c r="A70" s="66" t="s">
        <v>431</v>
      </c>
      <c r="B70" s="215"/>
      <c r="C70" s="215"/>
      <c r="D70" s="215"/>
      <c r="E70" s="215"/>
      <c r="F70" s="215"/>
      <c r="G70" s="215"/>
      <c r="H70" s="215"/>
      <c r="I70" s="215"/>
      <c r="J70" s="215"/>
      <c r="K70" s="215"/>
      <c r="L70" s="215"/>
      <c r="M70" s="215"/>
      <c r="N70" s="215"/>
      <c r="O70" s="215"/>
      <c r="P70" s="154"/>
      <c r="Q70" s="154"/>
      <c r="R70" s="154"/>
    </row>
    <row r="71" spans="1:18">
      <c r="A71" s="154" t="s">
        <v>432</v>
      </c>
      <c r="B71" s="255">
        <v>13853.924000000001</v>
      </c>
      <c r="C71" s="224">
        <v>13526.776</v>
      </c>
      <c r="D71" s="224">
        <v>13497.08</v>
      </c>
      <c r="E71" s="224">
        <v>13135.4</v>
      </c>
      <c r="F71" s="224">
        <v>12978.71</v>
      </c>
      <c r="G71" s="224">
        <v>12682.376</v>
      </c>
      <c r="H71" s="224">
        <v>12606.832</v>
      </c>
      <c r="I71" s="224">
        <v>12317.299000000001</v>
      </c>
      <c r="J71" s="224">
        <v>12406.164000000001</v>
      </c>
      <c r="K71" s="224">
        <v>12158.085999999999</v>
      </c>
      <c r="L71" s="224">
        <v>11791.4</v>
      </c>
      <c r="M71" s="224">
        <v>11682.056</v>
      </c>
      <c r="N71" s="224">
        <v>11680.246999999999</v>
      </c>
      <c r="O71" s="224">
        <v>11450.596</v>
      </c>
      <c r="P71" s="154"/>
      <c r="Q71" s="28">
        <v>2.4185216048524871E-2</v>
      </c>
      <c r="R71" s="154"/>
    </row>
    <row r="72" spans="1:18">
      <c r="A72" s="154" t="s">
        <v>99</v>
      </c>
      <c r="B72" s="255">
        <v>1452.587</v>
      </c>
      <c r="C72" s="224">
        <v>1380.864</v>
      </c>
      <c r="D72" s="224">
        <v>1396.86</v>
      </c>
      <c r="E72" s="224">
        <v>1330.604</v>
      </c>
      <c r="F72" s="224">
        <v>1259.883</v>
      </c>
      <c r="G72" s="224">
        <v>1159.327</v>
      </c>
      <c r="H72" s="224">
        <v>1164.318</v>
      </c>
      <c r="I72" s="224">
        <v>1116.432</v>
      </c>
      <c r="J72" s="224">
        <v>1076.5889999999999</v>
      </c>
      <c r="K72" s="224">
        <v>1019.581</v>
      </c>
      <c r="L72" s="224">
        <v>1025.1990000000001</v>
      </c>
      <c r="M72" s="224">
        <v>1013.873</v>
      </c>
      <c r="N72" s="224">
        <v>969.57299999999998</v>
      </c>
      <c r="O72" s="224">
        <v>936.17499999999995</v>
      </c>
      <c r="P72" s="154"/>
      <c r="Q72" s="28">
        <v>5.1940669030404119E-2</v>
      </c>
      <c r="R72" s="154"/>
    </row>
    <row r="73" spans="1:18">
      <c r="A73" s="154" t="s">
        <v>433</v>
      </c>
      <c r="B73" s="255">
        <v>223.648</v>
      </c>
      <c r="C73" s="224">
        <v>215.226</v>
      </c>
      <c r="D73" s="224">
        <v>251.15799999999999</v>
      </c>
      <c r="E73" s="224">
        <v>258.77300000000002</v>
      </c>
      <c r="F73" s="224">
        <v>265.02300000000002</v>
      </c>
      <c r="G73" s="224">
        <v>213.49600000000001</v>
      </c>
      <c r="H73" s="224">
        <v>174.37</v>
      </c>
      <c r="I73" s="224">
        <v>138.97999999999999</v>
      </c>
      <c r="J73" s="224">
        <v>137.97</v>
      </c>
      <c r="K73" s="224">
        <v>123.462</v>
      </c>
      <c r="L73" s="224">
        <v>121.45399999999999</v>
      </c>
      <c r="M73" s="224">
        <v>138.589</v>
      </c>
      <c r="N73" s="224">
        <v>131.04400000000001</v>
      </c>
      <c r="O73" s="224">
        <v>143.98699999999999</v>
      </c>
      <c r="P73" s="154"/>
      <c r="Q73" s="28">
        <v>3.9130960014124673E-2</v>
      </c>
      <c r="R73" s="154"/>
    </row>
    <row r="74" spans="1:18">
      <c r="A74" s="154" t="s">
        <v>434</v>
      </c>
      <c r="B74" s="255">
        <v>4549.0360000000001</v>
      </c>
      <c r="C74" s="224">
        <v>4350.9759999999997</v>
      </c>
      <c r="D74" s="224">
        <v>4280.5829999999996</v>
      </c>
      <c r="E74" s="224">
        <v>4097.732</v>
      </c>
      <c r="F74" s="224">
        <v>3952.4760000000001</v>
      </c>
      <c r="G74" s="224">
        <v>4040.998</v>
      </c>
      <c r="H74" s="224">
        <v>4139.3680000000004</v>
      </c>
      <c r="I74" s="224">
        <v>3778.4349999999999</v>
      </c>
      <c r="J74" s="224">
        <v>3742.3029999999999</v>
      </c>
      <c r="K74" s="224">
        <v>3788.9160000000002</v>
      </c>
      <c r="L74" s="224">
        <v>3779.5709999999999</v>
      </c>
      <c r="M74" s="224">
        <v>3861.9180000000001</v>
      </c>
      <c r="N74" s="224">
        <v>3848.6529999999998</v>
      </c>
      <c r="O74" s="224">
        <v>3966.7530000000002</v>
      </c>
      <c r="P74" s="154"/>
      <c r="Q74" s="28">
        <v>4.552082107554728E-2</v>
      </c>
      <c r="R74" s="154"/>
    </row>
    <row r="75" spans="1:18">
      <c r="A75" s="154" t="s">
        <v>435</v>
      </c>
      <c r="B75" s="255">
        <v>2718.6549999999997</v>
      </c>
      <c r="C75" s="224">
        <v>2785.73</v>
      </c>
      <c r="D75" s="224">
        <v>2761.7840000000001</v>
      </c>
      <c r="E75" s="224">
        <v>2632.97</v>
      </c>
      <c r="F75" s="224">
        <v>2447.0209999999997</v>
      </c>
      <c r="G75" s="224">
        <v>2606.1640000000002</v>
      </c>
      <c r="H75" s="224">
        <v>2434.3879999999999</v>
      </c>
      <c r="I75" s="224">
        <v>2637.4059999999999</v>
      </c>
      <c r="J75" s="224">
        <v>2359.6660000000002</v>
      </c>
      <c r="K75" s="224">
        <v>2169.8429999999998</v>
      </c>
      <c r="L75" s="224">
        <v>2619.2910000000002</v>
      </c>
      <c r="M75" s="224">
        <v>2570.7089999999998</v>
      </c>
      <c r="N75" s="224">
        <v>2536.6379999999999</v>
      </c>
      <c r="O75" s="224">
        <v>2476.078</v>
      </c>
      <c r="P75" s="154"/>
      <c r="Q75" s="28">
        <v>-2.4078069303198901E-2</v>
      </c>
      <c r="R75" s="154"/>
    </row>
    <row r="76" spans="1:18" ht="15.75" thickBot="1">
      <c r="A76" s="154"/>
      <c r="B76" s="223">
        <v>22797.85</v>
      </c>
      <c r="C76" s="223">
        <v>22259.572</v>
      </c>
      <c r="D76" s="223">
        <v>22187.465</v>
      </c>
      <c r="E76" s="223">
        <v>21455.478999999999</v>
      </c>
      <c r="F76" s="223">
        <v>20903.112999999998</v>
      </c>
      <c r="G76" s="223">
        <v>20702.361000000001</v>
      </c>
      <c r="H76" s="223">
        <v>20519.275999999998</v>
      </c>
      <c r="I76" s="223">
        <v>19988.552</v>
      </c>
      <c r="J76" s="223">
        <v>19722.692000000003</v>
      </c>
      <c r="K76" s="223">
        <v>19259.887999999999</v>
      </c>
      <c r="L76" s="223">
        <v>19336.915000000001</v>
      </c>
      <c r="M76" s="223">
        <v>19267.145</v>
      </c>
      <c r="N76" s="223">
        <v>19166.155000000002</v>
      </c>
      <c r="O76" s="223">
        <v>18973.589</v>
      </c>
      <c r="P76" s="174"/>
      <c r="Q76" s="160">
        <v>2.418186656958177E-2</v>
      </c>
      <c r="R76" s="154"/>
    </row>
    <row r="77" spans="1:18" ht="15.75" thickTop="1">
      <c r="A77" s="66" t="s">
        <v>170</v>
      </c>
      <c r="B77" s="215"/>
      <c r="C77" s="215"/>
      <c r="D77" s="215"/>
      <c r="E77" s="215"/>
      <c r="F77" s="215"/>
      <c r="G77" s="215"/>
      <c r="H77" s="215"/>
      <c r="I77" s="215"/>
      <c r="J77" s="215"/>
      <c r="K77" s="215"/>
      <c r="L77" s="215"/>
      <c r="M77" s="215"/>
      <c r="N77" s="215"/>
      <c r="O77" s="215"/>
      <c r="P77" s="154"/>
      <c r="Q77" s="154"/>
      <c r="R77" s="154"/>
    </row>
    <row r="78" spans="1:18">
      <c r="A78" s="154" t="s">
        <v>171</v>
      </c>
      <c r="B78" s="255">
        <v>20736.735000000001</v>
      </c>
      <c r="C78" s="224">
        <v>20239.403999999999</v>
      </c>
      <c r="D78" s="224">
        <v>20249.508000000002</v>
      </c>
      <c r="E78" s="224">
        <v>19659.822</v>
      </c>
      <c r="F78" s="224">
        <v>19125.781999999999</v>
      </c>
      <c r="G78" s="224">
        <v>18821.47</v>
      </c>
      <c r="H78" s="224">
        <v>18559.339</v>
      </c>
      <c r="I78" s="224">
        <v>18216.501</v>
      </c>
      <c r="J78" s="224">
        <v>17921.252</v>
      </c>
      <c r="K78" s="224">
        <v>17423.147000000001</v>
      </c>
      <c r="L78" s="224">
        <v>17514.400000000001</v>
      </c>
      <c r="M78" s="224">
        <v>17354.605</v>
      </c>
      <c r="N78" s="224">
        <v>17298.147000000001</v>
      </c>
      <c r="O78" s="224">
        <v>17036.294000000002</v>
      </c>
      <c r="P78" s="154"/>
      <c r="Q78" s="28">
        <v>2.4572413298336353E-2</v>
      </c>
      <c r="R78" s="154"/>
    </row>
    <row r="79" spans="1:18">
      <c r="A79" s="154" t="s">
        <v>173</v>
      </c>
      <c r="B79" s="255">
        <v>1635.1759999999999</v>
      </c>
      <c r="C79" s="224">
        <v>1602.8389999999999</v>
      </c>
      <c r="D79" s="224">
        <v>1578.0329999999999</v>
      </c>
      <c r="E79" s="224">
        <v>1432.7940000000001</v>
      </c>
      <c r="F79" s="224">
        <v>1414.018</v>
      </c>
      <c r="G79" s="224">
        <v>1507.8969999999999</v>
      </c>
      <c r="H79" s="224">
        <v>1589.24</v>
      </c>
      <c r="I79" s="224">
        <v>1399.318</v>
      </c>
      <c r="J79" s="224">
        <v>1435.204</v>
      </c>
      <c r="K79" s="224">
        <v>1455.424</v>
      </c>
      <c r="L79" s="224">
        <v>1448.7529999999999</v>
      </c>
      <c r="M79" s="224">
        <v>1529.6369999999999</v>
      </c>
      <c r="N79" s="224">
        <v>1475.0650000000001</v>
      </c>
      <c r="O79" s="224">
        <v>1519.4739999999999</v>
      </c>
      <c r="P79" s="154"/>
      <c r="Q79" s="28">
        <v>2.0174827290825835E-2</v>
      </c>
      <c r="R79" s="154"/>
    </row>
    <row r="80" spans="1:18">
      <c r="A80" s="154" t="s">
        <v>172</v>
      </c>
      <c r="B80" s="255">
        <v>307.45699999999999</v>
      </c>
      <c r="C80" s="224">
        <v>309.00700000000001</v>
      </c>
      <c r="D80" s="224">
        <v>302.81700000000001</v>
      </c>
      <c r="E80" s="224">
        <v>300.75200000000001</v>
      </c>
      <c r="F80" s="224">
        <v>303.12099999999998</v>
      </c>
      <c r="G80" s="224">
        <v>313.62700000000001</v>
      </c>
      <c r="H80" s="224">
        <v>309.08300000000003</v>
      </c>
      <c r="I80" s="224">
        <v>308.82799999999997</v>
      </c>
      <c r="J80" s="224">
        <v>301.68700000000001</v>
      </c>
      <c r="K80" s="224">
        <v>316.67700000000002</v>
      </c>
      <c r="L80" s="224">
        <v>300.86700000000002</v>
      </c>
      <c r="M80" s="224">
        <v>318.81</v>
      </c>
      <c r="N80" s="224">
        <v>325.625</v>
      </c>
      <c r="O80" s="224">
        <v>347.89</v>
      </c>
      <c r="P80" s="154"/>
      <c r="Q80" s="28">
        <v>-5.016067597174211E-3</v>
      </c>
      <c r="R80" s="154"/>
    </row>
    <row r="81" spans="1:18">
      <c r="A81" s="154" t="s">
        <v>174</v>
      </c>
      <c r="B81" s="255">
        <v>118.482</v>
      </c>
      <c r="C81" s="224">
        <v>108.322</v>
      </c>
      <c r="D81" s="224">
        <v>57.106999999999999</v>
      </c>
      <c r="E81" s="224">
        <v>62.110999999999997</v>
      </c>
      <c r="F81" s="224">
        <v>60.192</v>
      </c>
      <c r="G81" s="224">
        <v>59.367000000000004</v>
      </c>
      <c r="H81" s="224">
        <v>61.613999999999997</v>
      </c>
      <c r="I81" s="224">
        <v>63.905000000000001</v>
      </c>
      <c r="J81" s="224">
        <v>64.548999999999992</v>
      </c>
      <c r="K81" s="224">
        <v>64.64</v>
      </c>
      <c r="L81" s="224">
        <v>72.894999999999996</v>
      </c>
      <c r="M81" s="224">
        <v>64.093000000000004</v>
      </c>
      <c r="N81" s="224">
        <v>67.317999999999998</v>
      </c>
      <c r="O81" s="224">
        <v>69.930999999999997</v>
      </c>
      <c r="P81" s="154"/>
      <c r="Q81" s="28">
        <v>9.3794427724746554E-2</v>
      </c>
      <c r="R81" s="154"/>
    </row>
    <row r="82" spans="1:18" ht="15.75" thickBot="1">
      <c r="A82" s="154"/>
      <c r="B82" s="223">
        <v>22797.85</v>
      </c>
      <c r="C82" s="223">
        <v>22259.572</v>
      </c>
      <c r="D82" s="223">
        <v>22187.465</v>
      </c>
      <c r="E82" s="223">
        <v>21455.479000000003</v>
      </c>
      <c r="F82" s="223">
        <v>20903.112999999998</v>
      </c>
      <c r="G82" s="223">
        <v>20702.361000000001</v>
      </c>
      <c r="H82" s="223">
        <v>20519.276000000002</v>
      </c>
      <c r="I82" s="223">
        <v>19988.552</v>
      </c>
      <c r="J82" s="223">
        <v>19722.692000000003</v>
      </c>
      <c r="K82" s="223">
        <v>19259.887999999999</v>
      </c>
      <c r="L82" s="223">
        <v>19336.915000000001</v>
      </c>
      <c r="M82" s="223">
        <v>19267.145</v>
      </c>
      <c r="N82" s="223">
        <v>19166.155000000002</v>
      </c>
      <c r="O82" s="223">
        <v>18973.589</v>
      </c>
      <c r="P82" s="174"/>
      <c r="Q82" s="160">
        <v>2.418186656958177E-2</v>
      </c>
      <c r="R82" s="154"/>
    </row>
    <row r="83" spans="1:18" ht="15.75" thickTop="1">
      <c r="A83" s="154"/>
      <c r="B83" s="154"/>
      <c r="C83" s="154"/>
      <c r="D83" s="154"/>
      <c r="E83" s="154"/>
      <c r="F83" s="154"/>
      <c r="G83" s="215"/>
      <c r="H83" s="154"/>
      <c r="I83" s="154"/>
      <c r="J83" s="154"/>
      <c r="K83" s="154"/>
      <c r="L83" s="154"/>
      <c r="M83" s="154"/>
      <c r="N83" s="154"/>
      <c r="O83" s="154"/>
      <c r="P83" s="154"/>
      <c r="Q83" s="154"/>
      <c r="R83" s="154"/>
    </row>
    <row r="84" spans="1:18" ht="26.25" customHeight="1">
      <c r="A84" s="324"/>
      <c r="B84" s="324"/>
      <c r="C84" s="324"/>
      <c r="D84" s="324"/>
      <c r="E84" s="324"/>
      <c r="F84" s="324"/>
      <c r="G84" s="324"/>
      <c r="H84" s="324"/>
      <c r="I84" s="324"/>
      <c r="J84" s="324"/>
      <c r="K84" s="324"/>
      <c r="L84" s="324"/>
      <c r="M84" s="324"/>
      <c r="N84" s="324"/>
      <c r="O84" s="324"/>
      <c r="P84" s="212"/>
      <c r="Q84" s="212"/>
      <c r="R84" s="146"/>
    </row>
    <row r="85" spans="1:18" ht="72" customHeight="1">
      <c r="A85" s="323" t="s">
        <v>511</v>
      </c>
      <c r="B85" s="323"/>
      <c r="C85" s="323"/>
      <c r="D85" s="323"/>
      <c r="E85" s="323"/>
      <c r="F85" s="323"/>
      <c r="G85" s="323"/>
      <c r="H85" s="323"/>
      <c r="I85" s="323"/>
      <c r="J85" s="323"/>
      <c r="K85" s="323"/>
      <c r="L85" s="323"/>
      <c r="M85" s="323"/>
      <c r="N85" s="323"/>
      <c r="O85" s="323"/>
      <c r="P85" s="212"/>
      <c r="Q85" s="212"/>
      <c r="R85" s="154"/>
    </row>
    <row r="86" spans="1:18" ht="33" customHeight="1">
      <c r="A86" s="323" t="s">
        <v>510</v>
      </c>
      <c r="B86" s="323"/>
      <c r="C86" s="323"/>
      <c r="D86" s="323"/>
      <c r="E86" s="323"/>
      <c r="F86" s="323"/>
      <c r="G86" s="323"/>
      <c r="H86" s="323"/>
      <c r="I86" s="323"/>
      <c r="J86" s="323"/>
      <c r="K86" s="323"/>
      <c r="L86" s="323"/>
      <c r="M86" s="323"/>
      <c r="N86" s="323"/>
      <c r="O86" s="323"/>
      <c r="P86" s="212"/>
      <c r="Q86" s="212"/>
      <c r="R86" s="154"/>
    </row>
    <row r="87" spans="1:18" ht="22.5" customHeight="1">
      <c r="A87" s="323" t="s">
        <v>566</v>
      </c>
      <c r="B87" s="323"/>
      <c r="C87" s="323"/>
      <c r="D87" s="323"/>
      <c r="E87" s="323"/>
      <c r="F87" s="323"/>
      <c r="G87" s="323"/>
      <c r="H87" s="323"/>
      <c r="I87" s="323"/>
      <c r="J87" s="323"/>
      <c r="K87" s="323"/>
      <c r="L87" s="323"/>
      <c r="M87" s="323"/>
      <c r="N87" s="323"/>
      <c r="O87" s="323"/>
    </row>
    <row r="88" spans="1:18" ht="24.75" customHeight="1">
      <c r="A88" s="323" t="s">
        <v>567</v>
      </c>
      <c r="B88" s="323"/>
      <c r="C88" s="323"/>
      <c r="D88" s="323"/>
      <c r="E88" s="323"/>
      <c r="F88" s="323"/>
      <c r="G88" s="323"/>
      <c r="H88" s="323"/>
      <c r="I88" s="323"/>
      <c r="J88" s="323"/>
      <c r="K88" s="323"/>
      <c r="L88" s="323"/>
      <c r="M88" s="323"/>
      <c r="N88" s="323"/>
      <c r="O88" s="323"/>
    </row>
    <row r="89" spans="1:18" ht="58.5" customHeight="1">
      <c r="A89" s="323" t="s">
        <v>568</v>
      </c>
      <c r="B89" s="323"/>
      <c r="C89" s="323"/>
      <c r="D89" s="323"/>
      <c r="E89" s="323"/>
      <c r="F89" s="323"/>
      <c r="G89" s="323"/>
      <c r="H89" s="323"/>
      <c r="I89" s="323"/>
      <c r="J89" s="323"/>
      <c r="K89" s="323"/>
      <c r="L89" s="323"/>
      <c r="M89" s="323"/>
      <c r="N89" s="323"/>
      <c r="O89" s="323"/>
    </row>
  </sheetData>
  <sheetProtection formatCells="0" formatColumns="0" formatRows="0" insertColumns="0" insertRows="0" insertHyperlinks="0" deleteColumns="0" deleteRows="0" sort="0" autoFilter="0" pivotTables="0"/>
  <mergeCells count="6">
    <mergeCell ref="A87:O87"/>
    <mergeCell ref="A89:O89"/>
    <mergeCell ref="A84:O84"/>
    <mergeCell ref="A88:O88"/>
    <mergeCell ref="A85:O85"/>
    <mergeCell ref="A86:O86"/>
  </mergeCells>
  <pageMargins left="0.70866141732283472" right="0.70866141732283472" top="0.74803149606299213" bottom="0.74803149606299213" header="0.31496062992125984" footer="0.31496062992125984"/>
  <pageSetup paperSize="9" scale="23" orientation="landscape" r:id="rId1"/>
  <rowBreaks count="1" manualBreakCount="1">
    <brk id="26" max="11"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D264"/>
  <sheetViews>
    <sheetView zoomScaleNormal="100" workbookViewId="0">
      <pane xSplit="1" ySplit="3" topLeftCell="B4" activePane="bottomRight" state="frozen"/>
      <selection activeCell="A94" sqref="A94:AG94"/>
      <selection pane="topRight" activeCell="A94" sqref="A94:AG94"/>
      <selection pane="bottomLeft" activeCell="A94" sqref="A94:AG94"/>
      <selection pane="bottomRight" activeCell="B4" sqref="B4"/>
    </sheetView>
  </sheetViews>
  <sheetFormatPr defaultColWidth="9.140625" defaultRowHeight="15"/>
  <cols>
    <col min="1" max="1" width="53.85546875" style="18" customWidth="1"/>
    <col min="2" max="15" width="8.7109375" style="18" customWidth="1"/>
    <col min="16" max="16" width="4.7109375" style="18" customWidth="1"/>
    <col min="17" max="30" width="10.140625" style="18" customWidth="1"/>
    <col min="31" max="31" width="4.42578125" style="18" customWidth="1"/>
    <col min="32" max="16384" width="9.140625" style="18"/>
  </cols>
  <sheetData>
    <row r="1" spans="1:30">
      <c r="A1" s="16" t="s">
        <v>438</v>
      </c>
      <c r="B1" s="16"/>
      <c r="C1" s="16"/>
      <c r="D1" s="16"/>
      <c r="E1" s="16"/>
      <c r="F1" s="16"/>
      <c r="G1" s="16"/>
      <c r="H1" s="16"/>
      <c r="I1" s="16"/>
      <c r="J1" s="16"/>
      <c r="K1" s="16"/>
      <c r="L1" s="16"/>
      <c r="M1" s="16"/>
      <c r="N1" s="16"/>
      <c r="O1" s="16"/>
      <c r="P1" s="16"/>
      <c r="Q1" s="16"/>
      <c r="R1" s="16"/>
      <c r="S1" s="16"/>
      <c r="T1" s="16"/>
      <c r="U1" s="16"/>
      <c r="V1" s="16"/>
      <c r="W1" s="16"/>
      <c r="X1" s="16"/>
      <c r="Y1" s="16"/>
      <c r="Z1" s="16"/>
      <c r="AA1" s="16"/>
      <c r="AB1" s="16"/>
      <c r="AC1" s="16"/>
      <c r="AD1" s="16"/>
    </row>
    <row r="2" spans="1:30">
      <c r="A2" s="19" t="s">
        <v>33</v>
      </c>
      <c r="B2" s="75" t="s">
        <v>552</v>
      </c>
      <c r="C2" s="75" t="s">
        <v>500</v>
      </c>
      <c r="D2" s="75" t="s">
        <v>444</v>
      </c>
      <c r="E2" s="75" t="s">
        <v>441</v>
      </c>
      <c r="F2" s="75" t="s">
        <v>424</v>
      </c>
      <c r="G2" s="75" t="s">
        <v>370</v>
      </c>
      <c r="H2" s="75" t="s">
        <v>364</v>
      </c>
      <c r="I2" s="75" t="s">
        <v>335</v>
      </c>
      <c r="J2" s="75" t="s">
        <v>327</v>
      </c>
      <c r="K2" s="75" t="s">
        <v>320</v>
      </c>
      <c r="L2" s="75" t="s">
        <v>313</v>
      </c>
      <c r="M2" s="75" t="s">
        <v>285</v>
      </c>
      <c r="N2" s="75" t="s">
        <v>278</v>
      </c>
      <c r="O2" s="75" t="s">
        <v>273</v>
      </c>
      <c r="P2" s="75"/>
      <c r="Q2" s="75" t="s">
        <v>553</v>
      </c>
      <c r="R2" s="75" t="s">
        <v>501</v>
      </c>
      <c r="S2" s="75" t="s">
        <v>445</v>
      </c>
      <c r="T2" s="75" t="s">
        <v>442</v>
      </c>
      <c r="U2" s="75" t="s">
        <v>425</v>
      </c>
      <c r="V2" s="75" t="s">
        <v>371</v>
      </c>
      <c r="W2" s="75" t="s">
        <v>365</v>
      </c>
      <c r="X2" s="75" t="s">
        <v>336</v>
      </c>
      <c r="Y2" s="75" t="s">
        <v>328</v>
      </c>
      <c r="Z2" s="75" t="s">
        <v>321</v>
      </c>
      <c r="AA2" s="75" t="s">
        <v>314</v>
      </c>
      <c r="AB2" s="75" t="s">
        <v>286</v>
      </c>
      <c r="AC2" s="75" t="s">
        <v>279</v>
      </c>
      <c r="AD2" s="75" t="s">
        <v>274</v>
      </c>
    </row>
    <row r="3" spans="1:30">
      <c r="A3" s="21" t="s">
        <v>436</v>
      </c>
      <c r="B3" s="21"/>
      <c r="C3" s="21"/>
      <c r="D3" s="21"/>
      <c r="E3" s="21"/>
      <c r="F3" s="21"/>
      <c r="G3" s="21"/>
      <c r="H3" s="21"/>
      <c r="I3" s="21"/>
      <c r="J3" s="21"/>
      <c r="K3" s="21"/>
      <c r="L3" s="21"/>
      <c r="M3" s="21"/>
      <c r="N3" s="21"/>
      <c r="O3" s="21"/>
      <c r="P3" s="76"/>
      <c r="Q3" s="76"/>
      <c r="R3" s="76"/>
      <c r="S3" s="76"/>
      <c r="T3" s="76"/>
      <c r="U3" s="76"/>
      <c r="V3" s="76"/>
      <c r="W3" s="76"/>
      <c r="X3" s="76"/>
      <c r="Y3" s="76"/>
      <c r="Z3" s="76"/>
      <c r="AA3" s="76"/>
      <c r="AB3" s="76"/>
      <c r="AC3" s="76"/>
      <c r="AD3" s="76"/>
    </row>
    <row r="4" spans="1:30">
      <c r="A4" s="38" t="s">
        <v>34</v>
      </c>
      <c r="B4" s="180">
        <v>187.90499999999997</v>
      </c>
      <c r="C4" s="77">
        <v>180.87700000000001</v>
      </c>
      <c r="D4" s="77">
        <v>182.95100000000002</v>
      </c>
      <c r="E4" s="77">
        <v>180.10499999999996</v>
      </c>
      <c r="F4" s="77">
        <v>181.71599999999998</v>
      </c>
      <c r="G4" s="77">
        <v>185.739</v>
      </c>
      <c r="H4" s="77">
        <v>197.88800000000003</v>
      </c>
      <c r="I4" s="77">
        <v>203.69400000000002</v>
      </c>
      <c r="J4" s="77">
        <v>206.63200000000001</v>
      </c>
      <c r="K4" s="77">
        <v>213.25</v>
      </c>
      <c r="L4" s="77">
        <v>220.053</v>
      </c>
      <c r="M4" s="77">
        <v>213.82099999999997</v>
      </c>
      <c r="N4" s="77">
        <v>196.09100000000001</v>
      </c>
      <c r="O4" s="77">
        <v>162.25200000000001</v>
      </c>
      <c r="P4" s="82"/>
      <c r="Q4" s="280">
        <v>368.78199999999998</v>
      </c>
      <c r="R4" s="81">
        <v>180.87700000000001</v>
      </c>
      <c r="S4" s="81">
        <v>730.51099999999997</v>
      </c>
      <c r="T4" s="81">
        <v>547.55999999999995</v>
      </c>
      <c r="U4" s="81">
        <v>367.45499999999998</v>
      </c>
      <c r="V4" s="81">
        <v>185.739</v>
      </c>
      <c r="W4" s="81">
        <v>821.46400000000006</v>
      </c>
      <c r="X4" s="81">
        <v>623.57600000000002</v>
      </c>
      <c r="Y4" s="81">
        <v>419.88200000000001</v>
      </c>
      <c r="Z4" s="81">
        <v>213.25</v>
      </c>
      <c r="AA4" s="81">
        <v>792.21699999999998</v>
      </c>
      <c r="AB4" s="81">
        <v>572.16399999999999</v>
      </c>
      <c r="AC4" s="81">
        <v>358.34300000000002</v>
      </c>
      <c r="AD4" s="81">
        <v>162.25200000000001</v>
      </c>
    </row>
    <row r="5" spans="1:30">
      <c r="A5" s="38" t="s">
        <v>91</v>
      </c>
      <c r="B5" s="180">
        <v>46.070999999999998</v>
      </c>
      <c r="C5" s="77">
        <v>44.320999999999998</v>
      </c>
      <c r="D5" s="77">
        <v>46.146999999999991</v>
      </c>
      <c r="E5" s="77">
        <v>45.269999999999996</v>
      </c>
      <c r="F5" s="77">
        <v>44.246000000000002</v>
      </c>
      <c r="G5" s="77">
        <v>43.936</v>
      </c>
      <c r="H5" s="77">
        <v>46.283999999999992</v>
      </c>
      <c r="I5" s="77">
        <v>44.445999999999998</v>
      </c>
      <c r="J5" s="77">
        <v>44.196999999999996</v>
      </c>
      <c r="K5" s="77">
        <v>42.017000000000003</v>
      </c>
      <c r="L5" s="77">
        <v>46.504999999999995</v>
      </c>
      <c r="M5" s="77">
        <v>44.914000000000001</v>
      </c>
      <c r="N5" s="77">
        <v>45.391999999999996</v>
      </c>
      <c r="O5" s="77">
        <v>44.212000000000003</v>
      </c>
      <c r="P5" s="82"/>
      <c r="Q5" s="280">
        <v>90.391999999999996</v>
      </c>
      <c r="R5" s="81">
        <v>44.320999999999998</v>
      </c>
      <c r="S5" s="81">
        <v>179.59899999999999</v>
      </c>
      <c r="T5" s="81">
        <v>133.452</v>
      </c>
      <c r="U5" s="81">
        <v>88.182000000000002</v>
      </c>
      <c r="V5" s="81">
        <v>43.936</v>
      </c>
      <c r="W5" s="81">
        <v>176.94399999999999</v>
      </c>
      <c r="X5" s="81">
        <v>130.66</v>
      </c>
      <c r="Y5" s="81">
        <v>86.213999999999999</v>
      </c>
      <c r="Z5" s="81">
        <v>42.017000000000003</v>
      </c>
      <c r="AA5" s="81">
        <v>181.023</v>
      </c>
      <c r="AB5" s="81">
        <v>134.518</v>
      </c>
      <c r="AC5" s="81">
        <v>89.603999999999999</v>
      </c>
      <c r="AD5" s="81">
        <v>44.212000000000003</v>
      </c>
    </row>
    <row r="6" spans="1:30">
      <c r="A6" s="38" t="s">
        <v>36</v>
      </c>
      <c r="B6" s="180">
        <v>30.855999999999998</v>
      </c>
      <c r="C6" s="77">
        <v>24.654</v>
      </c>
      <c r="D6" s="77">
        <v>44.269999999999996</v>
      </c>
      <c r="E6" s="77">
        <v>32.435000000000002</v>
      </c>
      <c r="F6" s="77">
        <v>28.212</v>
      </c>
      <c r="G6" s="77">
        <v>25.148</v>
      </c>
      <c r="H6" s="77">
        <v>22.459999999999994</v>
      </c>
      <c r="I6" s="77">
        <v>30.748000000000005</v>
      </c>
      <c r="J6" s="77">
        <v>21.790999999999997</v>
      </c>
      <c r="K6" s="77">
        <v>20.756</v>
      </c>
      <c r="L6" s="77">
        <v>30.230999999999995</v>
      </c>
      <c r="M6" s="77">
        <v>25.852000000000004</v>
      </c>
      <c r="N6" s="77">
        <v>35.868000000000002</v>
      </c>
      <c r="O6" s="77">
        <v>27.073</v>
      </c>
      <c r="P6" s="82"/>
      <c r="Q6" s="280">
        <v>55.51</v>
      </c>
      <c r="R6" s="81">
        <v>24.654</v>
      </c>
      <c r="S6" s="81">
        <v>130.065</v>
      </c>
      <c r="T6" s="81">
        <v>85.795000000000002</v>
      </c>
      <c r="U6" s="81">
        <v>53.36</v>
      </c>
      <c r="V6" s="81">
        <v>25.148</v>
      </c>
      <c r="W6" s="81">
        <v>95.754999999999995</v>
      </c>
      <c r="X6" s="81">
        <v>73.295000000000002</v>
      </c>
      <c r="Y6" s="81">
        <v>42.546999999999997</v>
      </c>
      <c r="Z6" s="81">
        <v>20.756</v>
      </c>
      <c r="AA6" s="81">
        <v>119.024</v>
      </c>
      <c r="AB6" s="81">
        <v>88.793000000000006</v>
      </c>
      <c r="AC6" s="81">
        <v>62.941000000000003</v>
      </c>
      <c r="AD6" s="81">
        <v>27.073</v>
      </c>
    </row>
    <row r="7" spans="1:30">
      <c r="A7" s="19" t="s">
        <v>37</v>
      </c>
      <c r="B7" s="282">
        <v>264.83199999999999</v>
      </c>
      <c r="C7" s="233">
        <v>249.852</v>
      </c>
      <c r="D7" s="233">
        <v>273.36800000000005</v>
      </c>
      <c r="E7" s="233">
        <v>257.80999999999989</v>
      </c>
      <c r="F7" s="233">
        <v>254.17400000000001</v>
      </c>
      <c r="G7" s="233">
        <v>254.82300000000001</v>
      </c>
      <c r="H7" s="233">
        <v>266.63200000000006</v>
      </c>
      <c r="I7" s="233">
        <v>278.88799999999992</v>
      </c>
      <c r="J7" s="233">
        <v>272.62</v>
      </c>
      <c r="K7" s="233">
        <v>276.02300000000002</v>
      </c>
      <c r="L7" s="233">
        <v>296.7890000000001</v>
      </c>
      <c r="M7" s="233">
        <v>284.58699999999999</v>
      </c>
      <c r="N7" s="233">
        <v>277.351</v>
      </c>
      <c r="O7" s="233">
        <v>233.53700000000001</v>
      </c>
      <c r="P7" s="84"/>
      <c r="Q7" s="281">
        <v>514.68399999999997</v>
      </c>
      <c r="R7" s="83">
        <v>249.852</v>
      </c>
      <c r="S7" s="83">
        <v>1040.175</v>
      </c>
      <c r="T7" s="83">
        <v>766.8069999999999</v>
      </c>
      <c r="U7" s="83">
        <v>508.99700000000001</v>
      </c>
      <c r="V7" s="83">
        <v>254.82300000000001</v>
      </c>
      <c r="W7" s="83">
        <v>1094.163</v>
      </c>
      <c r="X7" s="83">
        <v>827.53099999999995</v>
      </c>
      <c r="Y7" s="83">
        <v>548.64300000000003</v>
      </c>
      <c r="Z7" s="83">
        <v>276.02300000000002</v>
      </c>
      <c r="AA7" s="83">
        <v>1092.2640000000001</v>
      </c>
      <c r="AB7" s="83">
        <v>795.47500000000002</v>
      </c>
      <c r="AC7" s="83">
        <v>510.88800000000003</v>
      </c>
      <c r="AD7" s="83">
        <v>233.53700000000001</v>
      </c>
    </row>
    <row r="8" spans="1:30">
      <c r="A8" s="19" t="s">
        <v>40</v>
      </c>
      <c r="B8" s="282">
        <v>-103.94199999999999</v>
      </c>
      <c r="C8" s="233">
        <v>-105.152</v>
      </c>
      <c r="D8" s="233">
        <v>-127.61700000000002</v>
      </c>
      <c r="E8" s="233">
        <v>-104.33599999999998</v>
      </c>
      <c r="F8" s="233">
        <v>-101.48799999999999</v>
      </c>
      <c r="G8" s="233">
        <v>-95.29</v>
      </c>
      <c r="H8" s="233">
        <v>-114.17000000000002</v>
      </c>
      <c r="I8" s="233">
        <v>-105.74699999999999</v>
      </c>
      <c r="J8" s="233">
        <v>-93.479000000000013</v>
      </c>
      <c r="K8" s="233">
        <v>-92.427999999999997</v>
      </c>
      <c r="L8" s="233">
        <v>-106.54900000000004</v>
      </c>
      <c r="M8" s="233">
        <v>-97.456999999999965</v>
      </c>
      <c r="N8" s="233">
        <v>-88.819000000000017</v>
      </c>
      <c r="O8" s="233">
        <v>-90.66</v>
      </c>
      <c r="P8" s="84"/>
      <c r="Q8" s="281">
        <v>-209.09399999999999</v>
      </c>
      <c r="R8" s="83">
        <v>-105.152</v>
      </c>
      <c r="S8" s="83">
        <v>-428.73099999999999</v>
      </c>
      <c r="T8" s="83">
        <v>-301.11399999999998</v>
      </c>
      <c r="U8" s="83">
        <v>-196.77799999999999</v>
      </c>
      <c r="V8" s="83">
        <v>-95.29</v>
      </c>
      <c r="W8" s="83">
        <v>-405.82400000000001</v>
      </c>
      <c r="X8" s="83">
        <v>-291.654</v>
      </c>
      <c r="Y8" s="83">
        <v>-185.90700000000001</v>
      </c>
      <c r="Z8" s="83">
        <v>-92.427999999999997</v>
      </c>
      <c r="AA8" s="83">
        <v>-383.48500000000001</v>
      </c>
      <c r="AB8" s="83">
        <v>-276.93599999999998</v>
      </c>
      <c r="AC8" s="83">
        <v>-179.47900000000001</v>
      </c>
      <c r="AD8" s="83">
        <v>-90.66</v>
      </c>
    </row>
    <row r="9" spans="1:30">
      <c r="A9" s="19" t="s">
        <v>92</v>
      </c>
      <c r="B9" s="282">
        <v>160.88999999999999</v>
      </c>
      <c r="C9" s="233">
        <v>144.69999999999999</v>
      </c>
      <c r="D9" s="233">
        <v>145.75100000000003</v>
      </c>
      <c r="E9" s="233">
        <v>153.47399999999988</v>
      </c>
      <c r="F9" s="233">
        <v>152.68600000000004</v>
      </c>
      <c r="G9" s="233">
        <v>159.53300000000002</v>
      </c>
      <c r="H9" s="233">
        <v>152.46199999999999</v>
      </c>
      <c r="I9" s="233">
        <v>173.14099999999996</v>
      </c>
      <c r="J9" s="233">
        <v>179.14099999999996</v>
      </c>
      <c r="K9" s="233">
        <v>183.59500000000003</v>
      </c>
      <c r="L9" s="233">
        <v>190.24000000000012</v>
      </c>
      <c r="M9" s="233">
        <v>187.13</v>
      </c>
      <c r="N9" s="233">
        <v>188.53199999999998</v>
      </c>
      <c r="O9" s="233">
        <v>142.87700000000001</v>
      </c>
      <c r="P9" s="84"/>
      <c r="Q9" s="281">
        <v>305.58999999999997</v>
      </c>
      <c r="R9" s="83">
        <v>144.69999999999999</v>
      </c>
      <c r="S9" s="83">
        <v>611.44399999999996</v>
      </c>
      <c r="T9" s="83">
        <v>465.69299999999993</v>
      </c>
      <c r="U9" s="83">
        <v>312.21900000000005</v>
      </c>
      <c r="V9" s="83">
        <v>159.53300000000002</v>
      </c>
      <c r="W9" s="83">
        <v>688.33899999999994</v>
      </c>
      <c r="X9" s="83">
        <v>535.87699999999995</v>
      </c>
      <c r="Y9" s="83">
        <v>362.73599999999999</v>
      </c>
      <c r="Z9" s="83">
        <v>183.59500000000003</v>
      </c>
      <c r="AA9" s="83">
        <v>708.77900000000011</v>
      </c>
      <c r="AB9" s="83">
        <v>518.53899999999999</v>
      </c>
      <c r="AC9" s="83">
        <v>331.40899999999999</v>
      </c>
      <c r="AD9" s="83">
        <v>142.87700000000001</v>
      </c>
    </row>
    <row r="10" spans="1:30" ht="28.5" customHeight="1">
      <c r="A10" s="79" t="s">
        <v>507</v>
      </c>
      <c r="B10" s="180">
        <v>1.8019999999999996</v>
      </c>
      <c r="C10" s="77">
        <v>4.6470000000000002</v>
      </c>
      <c r="D10" s="77">
        <v>-7.0310000000000024</v>
      </c>
      <c r="E10" s="77">
        <v>-8.847999999999999</v>
      </c>
      <c r="F10" s="77">
        <v>-8.6</v>
      </c>
      <c r="G10" s="77">
        <v>-10.121</v>
      </c>
      <c r="H10" s="77">
        <v>-8.1929999999999978</v>
      </c>
      <c r="I10" s="77">
        <v>-6.67</v>
      </c>
      <c r="J10" s="77">
        <v>-8.7030000000000012</v>
      </c>
      <c r="K10" s="77">
        <v>-6.8019999999999996</v>
      </c>
      <c r="L10" s="77">
        <v>-18.68</v>
      </c>
      <c r="M10" s="77">
        <v>-19.672000000000004</v>
      </c>
      <c r="N10" s="77">
        <v>-13.189999999999998</v>
      </c>
      <c r="O10" s="77">
        <v>-11.207000000000001</v>
      </c>
      <c r="P10" s="82"/>
      <c r="Q10" s="280">
        <v>6.4489999999999998</v>
      </c>
      <c r="R10" s="81">
        <v>4.6470000000000002</v>
      </c>
      <c r="S10" s="81">
        <v>-34.6</v>
      </c>
      <c r="T10" s="81">
        <v>-27.568999999999999</v>
      </c>
      <c r="U10" s="81">
        <v>-18.721</v>
      </c>
      <c r="V10" s="81">
        <v>-10.121</v>
      </c>
      <c r="W10" s="81">
        <v>-30.367999999999999</v>
      </c>
      <c r="X10" s="81">
        <v>-22.175000000000001</v>
      </c>
      <c r="Y10" s="81">
        <v>-15.505000000000001</v>
      </c>
      <c r="Z10" s="81">
        <v>-6.8019999999999996</v>
      </c>
      <c r="AA10" s="81">
        <v>-62.749000000000002</v>
      </c>
      <c r="AB10" s="81">
        <v>-44.069000000000003</v>
      </c>
      <c r="AC10" s="81">
        <v>-24.396999999999998</v>
      </c>
      <c r="AD10" s="81">
        <v>-11.207000000000001</v>
      </c>
    </row>
    <row r="11" spans="1:30">
      <c r="A11" s="38" t="s">
        <v>93</v>
      </c>
      <c r="B11" s="180">
        <v>-6.5409999999999995</v>
      </c>
      <c r="C11" s="77">
        <v>-6.4720000000000004</v>
      </c>
      <c r="D11" s="77">
        <v>-10.926000000000002</v>
      </c>
      <c r="E11" s="77">
        <v>-3.1229999999999993</v>
      </c>
      <c r="F11" s="77">
        <v>-4.327</v>
      </c>
      <c r="G11" s="77">
        <v>-9.9740000000000002</v>
      </c>
      <c r="H11" s="77">
        <v>-16.427</v>
      </c>
      <c r="I11" s="77">
        <v>-14.411000000000001</v>
      </c>
      <c r="J11" s="77">
        <v>-16.420999999999999</v>
      </c>
      <c r="K11" s="77">
        <v>-8.6639999999999997</v>
      </c>
      <c r="L11" s="77">
        <v>-15.728000000000002</v>
      </c>
      <c r="M11" s="77">
        <v>-7.9729999999999954</v>
      </c>
      <c r="N11" s="77">
        <v>-18.625</v>
      </c>
      <c r="O11" s="77">
        <v>-11.061999999999999</v>
      </c>
      <c r="P11" s="82"/>
      <c r="Q11" s="280">
        <v>-13.013</v>
      </c>
      <c r="R11" s="81">
        <v>-6.4720000000000004</v>
      </c>
      <c r="S11" s="81">
        <v>-28.35</v>
      </c>
      <c r="T11" s="81">
        <v>-17.423999999999999</v>
      </c>
      <c r="U11" s="81">
        <v>-14.301</v>
      </c>
      <c r="V11" s="81">
        <v>-9.9740000000000002</v>
      </c>
      <c r="W11" s="81">
        <v>-55.923000000000002</v>
      </c>
      <c r="X11" s="81">
        <v>-39.496000000000002</v>
      </c>
      <c r="Y11" s="81">
        <v>-25.085000000000001</v>
      </c>
      <c r="Z11" s="81">
        <v>-8.6639999999999997</v>
      </c>
      <c r="AA11" s="81">
        <v>-53.387999999999998</v>
      </c>
      <c r="AB11" s="81">
        <v>-37.659999999999997</v>
      </c>
      <c r="AC11" s="81">
        <v>-29.687000000000001</v>
      </c>
      <c r="AD11" s="81">
        <v>-11.061999999999999</v>
      </c>
    </row>
    <row r="12" spans="1:30">
      <c r="A12" s="38" t="s">
        <v>94</v>
      </c>
      <c r="B12" s="180">
        <v>-2.512</v>
      </c>
      <c r="C12" s="77">
        <v>2.355</v>
      </c>
      <c r="D12" s="77">
        <v>4.2110000000000003</v>
      </c>
      <c r="E12" s="77">
        <v>-2.4740000000000002</v>
      </c>
      <c r="F12" s="77">
        <v>0.22100000000000009</v>
      </c>
      <c r="G12" s="77">
        <v>-1.5740000000000001</v>
      </c>
      <c r="H12" s="77">
        <v>-12.731</v>
      </c>
      <c r="I12" s="77">
        <v>3.5179999999999998</v>
      </c>
      <c r="J12" s="77">
        <v>7.2330000000000005</v>
      </c>
      <c r="K12" s="77">
        <v>-9.7949999999999999</v>
      </c>
      <c r="L12" s="77">
        <v>-7.8689999999999998</v>
      </c>
      <c r="M12" s="77">
        <v>-6.4469999999999992</v>
      </c>
      <c r="N12" s="77">
        <v>-7.8329999999999993</v>
      </c>
      <c r="O12" s="77">
        <v>-6.3150000000000004</v>
      </c>
      <c r="P12" s="82"/>
      <c r="Q12" s="280">
        <v>-0.157</v>
      </c>
      <c r="R12" s="81">
        <v>2.355</v>
      </c>
      <c r="S12" s="81">
        <v>0.38400000000000001</v>
      </c>
      <c r="T12" s="81">
        <v>-3.827</v>
      </c>
      <c r="U12" s="81">
        <v>-1.353</v>
      </c>
      <c r="V12" s="81">
        <v>-1.5740000000000001</v>
      </c>
      <c r="W12" s="81">
        <v>-11.775</v>
      </c>
      <c r="X12" s="81">
        <v>0.95599999999999996</v>
      </c>
      <c r="Y12" s="81">
        <v>-2.5619999999999998</v>
      </c>
      <c r="Z12" s="81">
        <v>-9.7949999999999999</v>
      </c>
      <c r="AA12" s="81">
        <v>-28.463999999999999</v>
      </c>
      <c r="AB12" s="81">
        <v>-20.594999999999999</v>
      </c>
      <c r="AC12" s="81">
        <v>-14.148</v>
      </c>
      <c r="AD12" s="81">
        <v>-6.3150000000000004</v>
      </c>
    </row>
    <row r="13" spans="1:30">
      <c r="A13" s="38" t="s">
        <v>95</v>
      </c>
      <c r="B13" s="180">
        <v>0</v>
      </c>
      <c r="C13" s="77">
        <v>0</v>
      </c>
      <c r="D13" s="77">
        <v>0</v>
      </c>
      <c r="E13" s="77">
        <v>0</v>
      </c>
      <c r="F13" s="77">
        <v>0</v>
      </c>
      <c r="G13" s="77">
        <v>0</v>
      </c>
      <c r="H13" s="77">
        <v>0</v>
      </c>
      <c r="I13" s="77">
        <v>0</v>
      </c>
      <c r="J13" s="77">
        <v>0</v>
      </c>
      <c r="K13" s="77">
        <v>0</v>
      </c>
      <c r="L13" s="77">
        <v>0</v>
      </c>
      <c r="M13" s="77">
        <v>0</v>
      </c>
      <c r="N13" s="77">
        <v>0</v>
      </c>
      <c r="O13" s="77">
        <v>0</v>
      </c>
      <c r="P13" s="82"/>
      <c r="Q13" s="280">
        <v>0</v>
      </c>
      <c r="R13" s="81">
        <v>0</v>
      </c>
      <c r="S13" s="81">
        <v>0</v>
      </c>
      <c r="T13" s="81">
        <v>0</v>
      </c>
      <c r="U13" s="81">
        <v>0</v>
      </c>
      <c r="V13" s="81">
        <v>0</v>
      </c>
      <c r="W13" s="81">
        <v>0</v>
      </c>
      <c r="X13" s="81">
        <v>0</v>
      </c>
      <c r="Y13" s="81">
        <v>0</v>
      </c>
      <c r="Z13" s="81">
        <v>0</v>
      </c>
      <c r="AA13" s="81">
        <v>0</v>
      </c>
      <c r="AB13" s="81">
        <v>0</v>
      </c>
      <c r="AC13" s="81">
        <v>0</v>
      </c>
      <c r="AD13" s="81">
        <v>0</v>
      </c>
    </row>
    <row r="14" spans="1:30">
      <c r="A14" s="19" t="s">
        <v>96</v>
      </c>
      <c r="B14" s="282">
        <v>153.63900000000007</v>
      </c>
      <c r="C14" s="233">
        <v>145.22999999999996</v>
      </c>
      <c r="D14" s="233">
        <v>132.005</v>
      </c>
      <c r="E14" s="233">
        <v>139.02899999999988</v>
      </c>
      <c r="F14" s="233">
        <v>139.98000000000005</v>
      </c>
      <c r="G14" s="233">
        <v>137.864</v>
      </c>
      <c r="H14" s="233">
        <v>115.11099999999988</v>
      </c>
      <c r="I14" s="233">
        <v>155.57800000000003</v>
      </c>
      <c r="J14" s="233">
        <v>161.24999999999994</v>
      </c>
      <c r="K14" s="233">
        <v>158.33400000000006</v>
      </c>
      <c r="L14" s="233">
        <v>147.96300000000019</v>
      </c>
      <c r="M14" s="233">
        <v>153.03799999999995</v>
      </c>
      <c r="N14" s="233">
        <v>148.88399999999996</v>
      </c>
      <c r="O14" s="233">
        <v>114.29300000000002</v>
      </c>
      <c r="P14" s="84"/>
      <c r="Q14" s="281">
        <v>298.86900000000003</v>
      </c>
      <c r="R14" s="83">
        <v>145.22999999999996</v>
      </c>
      <c r="S14" s="83">
        <v>548.87799999999993</v>
      </c>
      <c r="T14" s="83">
        <v>416.87299999999993</v>
      </c>
      <c r="U14" s="83">
        <v>277.84400000000005</v>
      </c>
      <c r="V14" s="83">
        <v>137.864</v>
      </c>
      <c r="W14" s="83">
        <v>590.27299999999991</v>
      </c>
      <c r="X14" s="83">
        <v>475.16200000000003</v>
      </c>
      <c r="Y14" s="83">
        <v>319.584</v>
      </c>
      <c r="Z14" s="83">
        <v>158.33400000000006</v>
      </c>
      <c r="AA14" s="83">
        <v>564.17800000000011</v>
      </c>
      <c r="AB14" s="83">
        <v>416.21499999999992</v>
      </c>
      <c r="AC14" s="83">
        <v>263.17699999999996</v>
      </c>
      <c r="AD14" s="83">
        <v>114.29300000000002</v>
      </c>
    </row>
    <row r="15" spans="1:30">
      <c r="A15" s="38" t="s">
        <v>45</v>
      </c>
      <c r="B15" s="180">
        <v>-22.175999999999998</v>
      </c>
      <c r="C15" s="77">
        <v>-24.355</v>
      </c>
      <c r="D15" s="77">
        <v>-3.8909999999999982</v>
      </c>
      <c r="E15" s="77">
        <v>-19.802</v>
      </c>
      <c r="F15" s="77">
        <v>-21.901000000000003</v>
      </c>
      <c r="G15" s="77">
        <v>-20.167999999999999</v>
      </c>
      <c r="H15" s="77">
        <v>-8.1500000000000057</v>
      </c>
      <c r="I15" s="77">
        <v>-24.777999999999999</v>
      </c>
      <c r="J15" s="77">
        <v>-23.271000000000001</v>
      </c>
      <c r="K15" s="77">
        <v>-24.93</v>
      </c>
      <c r="L15" s="77">
        <v>-10.069000000000003</v>
      </c>
      <c r="M15" s="77">
        <v>-23.143000000000001</v>
      </c>
      <c r="N15" s="77">
        <v>-21.981999999999999</v>
      </c>
      <c r="O15" s="77">
        <v>-17.786000000000001</v>
      </c>
      <c r="P15" s="82"/>
      <c r="Q15" s="280">
        <v>-46.530999999999999</v>
      </c>
      <c r="R15" s="81">
        <v>-24.355</v>
      </c>
      <c r="S15" s="81">
        <v>-65.762</v>
      </c>
      <c r="T15" s="81">
        <v>-61.871000000000002</v>
      </c>
      <c r="U15" s="81">
        <v>-42.069000000000003</v>
      </c>
      <c r="V15" s="81">
        <v>-20.167999999999999</v>
      </c>
      <c r="W15" s="81">
        <v>-81.129000000000005</v>
      </c>
      <c r="X15" s="81">
        <v>-72.978999999999999</v>
      </c>
      <c r="Y15" s="81">
        <v>-48.201000000000001</v>
      </c>
      <c r="Z15" s="81">
        <v>-24.93</v>
      </c>
      <c r="AA15" s="81">
        <v>-72.98</v>
      </c>
      <c r="AB15" s="81">
        <v>-62.911000000000001</v>
      </c>
      <c r="AC15" s="81">
        <v>-39.768000000000001</v>
      </c>
      <c r="AD15" s="81">
        <v>-17.786000000000001</v>
      </c>
    </row>
    <row r="16" spans="1:30">
      <c r="A16" s="38" t="s">
        <v>97</v>
      </c>
      <c r="B16" s="180">
        <v>-0.47500000000000003</v>
      </c>
      <c r="C16" s="77">
        <v>-7.9000000000000001E-2</v>
      </c>
      <c r="D16" s="77">
        <v>-0.57000000000000006</v>
      </c>
      <c r="E16" s="77">
        <v>-0.84899999999999998</v>
      </c>
      <c r="F16" s="77">
        <v>-0.40700000000000003</v>
      </c>
      <c r="G16" s="77">
        <v>-0.73</v>
      </c>
      <c r="H16" s="77">
        <v>0.61699999999999999</v>
      </c>
      <c r="I16" s="77">
        <v>-0.54200000000000004</v>
      </c>
      <c r="J16" s="77">
        <v>-0.45299999999999996</v>
      </c>
      <c r="K16" s="77">
        <v>-0.57799999999999996</v>
      </c>
      <c r="L16" s="77">
        <v>-4.8000000000000043E-2</v>
      </c>
      <c r="M16" s="77">
        <v>-0.78400000000000003</v>
      </c>
      <c r="N16" s="77">
        <v>-0.35299999999999998</v>
      </c>
      <c r="O16" s="77">
        <v>-0.55200000000000005</v>
      </c>
      <c r="P16" s="82"/>
      <c r="Q16" s="280">
        <v>-0.55400000000000005</v>
      </c>
      <c r="R16" s="81">
        <v>-7.9000000000000001E-2</v>
      </c>
      <c r="S16" s="81">
        <v>-2.556</v>
      </c>
      <c r="T16" s="81">
        <v>-1.986</v>
      </c>
      <c r="U16" s="81">
        <v>-1.137</v>
      </c>
      <c r="V16" s="81">
        <v>-0.73</v>
      </c>
      <c r="W16" s="81">
        <v>-0.95599999999999996</v>
      </c>
      <c r="X16" s="81">
        <v>-1.573</v>
      </c>
      <c r="Y16" s="81">
        <v>-1.0309999999999999</v>
      </c>
      <c r="Z16" s="81">
        <v>-0.57799999999999996</v>
      </c>
      <c r="AA16" s="81">
        <v>-1.7370000000000001</v>
      </c>
      <c r="AB16" s="81">
        <v>-1.6890000000000001</v>
      </c>
      <c r="AC16" s="81">
        <v>-0.90500000000000003</v>
      </c>
      <c r="AD16" s="81">
        <v>-0.55200000000000005</v>
      </c>
    </row>
    <row r="17" spans="1:30">
      <c r="A17" s="19" t="s">
        <v>574</v>
      </c>
      <c r="B17" s="282">
        <v>130.98800000000006</v>
      </c>
      <c r="C17" s="233">
        <v>120.79599999999996</v>
      </c>
      <c r="D17" s="233">
        <v>127.54399999999998</v>
      </c>
      <c r="E17" s="233">
        <v>118.37799999999993</v>
      </c>
      <c r="F17" s="233">
        <v>117.67200000000004</v>
      </c>
      <c r="G17" s="233">
        <v>116.96599999999999</v>
      </c>
      <c r="H17" s="233">
        <v>107.5779999999998</v>
      </c>
      <c r="I17" s="233">
        <v>130.2580000000001</v>
      </c>
      <c r="J17" s="233">
        <v>137.52599999999993</v>
      </c>
      <c r="K17" s="233">
        <v>132.82600000000005</v>
      </c>
      <c r="L17" s="233">
        <v>137.84600000000017</v>
      </c>
      <c r="M17" s="233">
        <v>129.11099999999993</v>
      </c>
      <c r="N17" s="233">
        <v>126.54899999999995</v>
      </c>
      <c r="O17" s="233">
        <v>95.955000000000013</v>
      </c>
      <c r="P17" s="84"/>
      <c r="Q17" s="281">
        <v>251.78400000000002</v>
      </c>
      <c r="R17" s="83">
        <v>120.79599999999996</v>
      </c>
      <c r="S17" s="83">
        <v>480.55999999999995</v>
      </c>
      <c r="T17" s="83">
        <v>353.01599999999996</v>
      </c>
      <c r="U17" s="83">
        <v>234.63800000000003</v>
      </c>
      <c r="V17" s="83">
        <v>116.96599999999999</v>
      </c>
      <c r="W17" s="83">
        <v>508.18799999999987</v>
      </c>
      <c r="X17" s="83">
        <v>400.61000000000007</v>
      </c>
      <c r="Y17" s="83">
        <v>270.35199999999998</v>
      </c>
      <c r="Z17" s="83">
        <v>132.82600000000005</v>
      </c>
      <c r="AA17" s="83">
        <v>489.46100000000007</v>
      </c>
      <c r="AB17" s="83">
        <v>351.6149999999999</v>
      </c>
      <c r="AC17" s="83">
        <v>222.50399999999996</v>
      </c>
      <c r="AD17" s="83">
        <v>95.955000000000013</v>
      </c>
    </row>
    <row r="18" spans="1:30">
      <c r="A18" s="38"/>
      <c r="B18" s="38"/>
      <c r="C18" s="38"/>
      <c r="D18" s="38"/>
      <c r="E18" s="38"/>
      <c r="F18" s="38"/>
      <c r="G18" s="38"/>
      <c r="H18" s="38"/>
      <c r="I18" s="38"/>
      <c r="J18" s="38"/>
      <c r="K18" s="38"/>
      <c r="L18" s="38"/>
      <c r="M18" s="38"/>
      <c r="N18" s="38"/>
      <c r="O18" s="38"/>
      <c r="P18" s="82"/>
      <c r="Q18" s="82"/>
      <c r="R18" s="82"/>
      <c r="S18" s="82"/>
      <c r="T18" s="82"/>
      <c r="U18" s="82"/>
      <c r="V18" s="82"/>
      <c r="W18" s="82"/>
      <c r="X18" s="82"/>
      <c r="Y18" s="82"/>
      <c r="Z18" s="82"/>
      <c r="AA18" s="82"/>
      <c r="AB18" s="82"/>
      <c r="AC18" s="82"/>
      <c r="AD18" s="82"/>
    </row>
    <row r="19" spans="1:30">
      <c r="A19" s="19" t="s">
        <v>33</v>
      </c>
      <c r="B19" s="75" t="s">
        <v>552</v>
      </c>
      <c r="C19" s="75" t="s">
        <v>500</v>
      </c>
      <c r="D19" s="75" t="s">
        <v>444</v>
      </c>
      <c r="E19" s="75" t="s">
        <v>441</v>
      </c>
      <c r="F19" s="75" t="s">
        <v>424</v>
      </c>
      <c r="G19" s="75" t="s">
        <v>370</v>
      </c>
      <c r="H19" s="75" t="s">
        <v>364</v>
      </c>
      <c r="I19" s="75" t="s">
        <v>335</v>
      </c>
      <c r="J19" s="75" t="s">
        <v>327</v>
      </c>
      <c r="K19" s="75" t="s">
        <v>320</v>
      </c>
      <c r="L19" s="75" t="s">
        <v>313</v>
      </c>
      <c r="M19" s="75" t="s">
        <v>285</v>
      </c>
      <c r="N19" s="75" t="s">
        <v>278</v>
      </c>
      <c r="O19" s="75" t="s">
        <v>273</v>
      </c>
      <c r="P19" s="75"/>
      <c r="Q19" s="75" t="s">
        <v>553</v>
      </c>
      <c r="R19" s="75" t="s">
        <v>501</v>
      </c>
      <c r="S19" s="75" t="s">
        <v>445</v>
      </c>
      <c r="T19" s="75" t="s">
        <v>442</v>
      </c>
      <c r="U19" s="75" t="s">
        <v>425</v>
      </c>
      <c r="V19" s="75" t="s">
        <v>371</v>
      </c>
      <c r="W19" s="75" t="s">
        <v>365</v>
      </c>
      <c r="X19" s="75" t="s">
        <v>336</v>
      </c>
      <c r="Y19" s="75" t="s">
        <v>328</v>
      </c>
      <c r="Z19" s="75" t="s">
        <v>321</v>
      </c>
      <c r="AA19" s="75" t="s">
        <v>314</v>
      </c>
      <c r="AB19" s="75" t="s">
        <v>286</v>
      </c>
      <c r="AC19" s="75" t="s">
        <v>279</v>
      </c>
      <c r="AD19" s="75" t="s">
        <v>274</v>
      </c>
    </row>
    <row r="20" spans="1:30">
      <c r="A20" s="21" t="s">
        <v>8</v>
      </c>
      <c r="B20" s="21"/>
      <c r="C20" s="21"/>
      <c r="D20" s="21"/>
      <c r="E20" s="21"/>
      <c r="F20" s="21"/>
      <c r="G20" s="21"/>
      <c r="H20" s="21"/>
      <c r="I20" s="21"/>
      <c r="J20" s="21"/>
      <c r="K20" s="21"/>
      <c r="L20" s="21"/>
      <c r="M20" s="21"/>
      <c r="N20" s="21"/>
      <c r="O20" s="21"/>
      <c r="P20" s="85"/>
      <c r="Q20" s="76"/>
      <c r="R20" s="76"/>
      <c r="S20" s="76"/>
      <c r="T20" s="76"/>
      <c r="U20" s="76"/>
      <c r="V20" s="76"/>
      <c r="W20" s="76"/>
      <c r="X20" s="76"/>
      <c r="Y20" s="76"/>
      <c r="Z20" s="76"/>
      <c r="AA20" s="76"/>
      <c r="AB20" s="76"/>
      <c r="AC20" s="76"/>
      <c r="AD20" s="76"/>
    </row>
    <row r="21" spans="1:30">
      <c r="A21" s="38" t="s">
        <v>34</v>
      </c>
      <c r="B21" s="180">
        <v>86.647999999999996</v>
      </c>
      <c r="C21" s="77">
        <v>82.563999999999993</v>
      </c>
      <c r="D21" s="77">
        <v>83.572000000000003</v>
      </c>
      <c r="E21" s="77">
        <v>82.38300000000001</v>
      </c>
      <c r="F21" s="77">
        <v>85.69</v>
      </c>
      <c r="G21" s="77">
        <v>91.018000000000001</v>
      </c>
      <c r="H21" s="77">
        <v>99.757000000000005</v>
      </c>
      <c r="I21" s="77">
        <v>106.28099999999998</v>
      </c>
      <c r="J21" s="77">
        <v>107.58499999999999</v>
      </c>
      <c r="K21" s="77">
        <v>106.27200000000001</v>
      </c>
      <c r="L21" s="77">
        <v>109.00500000000005</v>
      </c>
      <c r="M21" s="77">
        <v>104.48399999999998</v>
      </c>
      <c r="N21" s="77">
        <v>87.606999999999999</v>
      </c>
      <c r="O21" s="77">
        <v>80.075999999999993</v>
      </c>
      <c r="P21" s="81"/>
      <c r="Q21" s="280">
        <v>169.21199999999999</v>
      </c>
      <c r="R21" s="81">
        <v>82.563999999999993</v>
      </c>
      <c r="S21" s="81">
        <v>342.66300000000001</v>
      </c>
      <c r="T21" s="81">
        <v>259.09100000000001</v>
      </c>
      <c r="U21" s="81">
        <v>176.708</v>
      </c>
      <c r="V21" s="81">
        <v>91.018000000000001</v>
      </c>
      <c r="W21" s="81">
        <v>419.89499999999998</v>
      </c>
      <c r="X21" s="81">
        <v>320.13799999999998</v>
      </c>
      <c r="Y21" s="81">
        <v>213.857</v>
      </c>
      <c r="Z21" s="81">
        <v>106.27200000000001</v>
      </c>
      <c r="AA21" s="81">
        <v>381.17200000000003</v>
      </c>
      <c r="AB21" s="81">
        <v>272.16699999999997</v>
      </c>
      <c r="AC21" s="81">
        <v>167.68299999999999</v>
      </c>
      <c r="AD21" s="81">
        <v>80.075999999999993</v>
      </c>
    </row>
    <row r="22" spans="1:30">
      <c r="A22" s="38" t="s">
        <v>91</v>
      </c>
      <c r="B22" s="180">
        <v>17.385999999999999</v>
      </c>
      <c r="C22" s="77">
        <v>15.928000000000001</v>
      </c>
      <c r="D22" s="77">
        <v>16.823</v>
      </c>
      <c r="E22" s="77">
        <v>17.661999999999999</v>
      </c>
      <c r="F22" s="77">
        <v>16.675999999999998</v>
      </c>
      <c r="G22" s="77">
        <v>16.007999999999999</v>
      </c>
      <c r="H22" s="77">
        <v>17.293000000000006</v>
      </c>
      <c r="I22" s="77">
        <v>17.322999999999993</v>
      </c>
      <c r="J22" s="77">
        <v>16.401000000000003</v>
      </c>
      <c r="K22" s="77">
        <v>15.817</v>
      </c>
      <c r="L22" s="77">
        <v>15.527000000000001</v>
      </c>
      <c r="M22" s="77">
        <v>16.999999999999996</v>
      </c>
      <c r="N22" s="77">
        <v>15.688000000000001</v>
      </c>
      <c r="O22" s="77">
        <v>14.929</v>
      </c>
      <c r="P22" s="81"/>
      <c r="Q22" s="280">
        <v>33.314</v>
      </c>
      <c r="R22" s="81">
        <v>15.928000000000001</v>
      </c>
      <c r="S22" s="81">
        <v>67.168999999999997</v>
      </c>
      <c r="T22" s="81">
        <v>50.345999999999997</v>
      </c>
      <c r="U22" s="81">
        <v>32.683999999999997</v>
      </c>
      <c r="V22" s="81">
        <v>16.007999999999999</v>
      </c>
      <c r="W22" s="81">
        <v>66.834000000000003</v>
      </c>
      <c r="X22" s="81">
        <v>49.540999999999997</v>
      </c>
      <c r="Y22" s="81">
        <v>32.218000000000004</v>
      </c>
      <c r="Z22" s="81">
        <v>15.817</v>
      </c>
      <c r="AA22" s="81">
        <v>63.143999999999998</v>
      </c>
      <c r="AB22" s="81">
        <v>47.616999999999997</v>
      </c>
      <c r="AC22" s="81">
        <v>30.617000000000001</v>
      </c>
      <c r="AD22" s="81">
        <v>14.929</v>
      </c>
    </row>
    <row r="23" spans="1:30">
      <c r="A23" s="38" t="s">
        <v>36</v>
      </c>
      <c r="B23" s="180">
        <v>0.65599999999999992</v>
      </c>
      <c r="C23" s="77">
        <v>0.65900000000000003</v>
      </c>
      <c r="D23" s="77">
        <v>0.73499999999999988</v>
      </c>
      <c r="E23" s="77">
        <v>0.70399999999999996</v>
      </c>
      <c r="F23" s="77">
        <v>0.67100000000000004</v>
      </c>
      <c r="G23" s="77">
        <v>0.66900000000000004</v>
      </c>
      <c r="H23" s="77">
        <v>0.80900000000000016</v>
      </c>
      <c r="I23" s="77">
        <v>0.73199999999999998</v>
      </c>
      <c r="J23" s="77">
        <v>0.69899999999999995</v>
      </c>
      <c r="K23" s="77">
        <v>0.66200000000000003</v>
      </c>
      <c r="L23" s="77">
        <v>0.59699999999999998</v>
      </c>
      <c r="M23" s="77">
        <v>0.6379999999999999</v>
      </c>
      <c r="N23" s="77">
        <v>0.69900000000000007</v>
      </c>
      <c r="O23" s="77">
        <v>0.59099999999999997</v>
      </c>
      <c r="P23" s="81"/>
      <c r="Q23" s="280">
        <v>1.3149999999999999</v>
      </c>
      <c r="R23" s="81">
        <v>0.65900000000000003</v>
      </c>
      <c r="S23" s="81">
        <v>2.7789999999999999</v>
      </c>
      <c r="T23" s="81">
        <v>2.044</v>
      </c>
      <c r="U23" s="81">
        <v>1.34</v>
      </c>
      <c r="V23" s="81">
        <v>0.66900000000000004</v>
      </c>
      <c r="W23" s="81">
        <v>2.9020000000000001</v>
      </c>
      <c r="X23" s="81">
        <v>2.093</v>
      </c>
      <c r="Y23" s="81">
        <v>1.361</v>
      </c>
      <c r="Z23" s="81">
        <v>0.66200000000000003</v>
      </c>
      <c r="AA23" s="81">
        <v>2.5249999999999999</v>
      </c>
      <c r="AB23" s="81">
        <v>1.9279999999999999</v>
      </c>
      <c r="AC23" s="81">
        <v>1.29</v>
      </c>
      <c r="AD23" s="81">
        <v>0.59099999999999997</v>
      </c>
    </row>
    <row r="24" spans="1:30">
      <c r="A24" s="19" t="s">
        <v>37</v>
      </c>
      <c r="B24" s="282">
        <v>104.68999999999998</v>
      </c>
      <c r="C24" s="233">
        <v>99.150999999999996</v>
      </c>
      <c r="D24" s="233">
        <v>101.13</v>
      </c>
      <c r="E24" s="233">
        <v>100.749</v>
      </c>
      <c r="F24" s="233">
        <v>103.03700000000001</v>
      </c>
      <c r="G24" s="233">
        <v>107.69499999999999</v>
      </c>
      <c r="H24" s="233">
        <v>117.85899999999998</v>
      </c>
      <c r="I24" s="233">
        <v>124.33600000000001</v>
      </c>
      <c r="J24" s="233">
        <v>124.68499999999997</v>
      </c>
      <c r="K24" s="233">
        <v>122.751</v>
      </c>
      <c r="L24" s="233">
        <v>125.12900000000002</v>
      </c>
      <c r="M24" s="233">
        <v>122.12200000000001</v>
      </c>
      <c r="N24" s="233">
        <v>103.99399999999999</v>
      </c>
      <c r="O24" s="233">
        <v>95.595999999999989</v>
      </c>
      <c r="P24" s="83"/>
      <c r="Q24" s="281">
        <v>203.84099999999998</v>
      </c>
      <c r="R24" s="83">
        <v>99.150999999999996</v>
      </c>
      <c r="S24" s="83">
        <v>412.61099999999999</v>
      </c>
      <c r="T24" s="83">
        <v>311.48099999999999</v>
      </c>
      <c r="U24" s="83">
        <v>210.732</v>
      </c>
      <c r="V24" s="83">
        <v>107.69499999999999</v>
      </c>
      <c r="W24" s="83">
        <v>489.63099999999997</v>
      </c>
      <c r="X24" s="83">
        <v>371.77199999999999</v>
      </c>
      <c r="Y24" s="83">
        <v>247.43599999999998</v>
      </c>
      <c r="Z24" s="83">
        <v>122.751</v>
      </c>
      <c r="AA24" s="83">
        <v>446.84100000000001</v>
      </c>
      <c r="AB24" s="83">
        <v>321.71199999999999</v>
      </c>
      <c r="AC24" s="83">
        <v>199.58999999999997</v>
      </c>
      <c r="AD24" s="83">
        <v>95.595999999999989</v>
      </c>
    </row>
    <row r="25" spans="1:30">
      <c r="A25" s="19" t="s">
        <v>40</v>
      </c>
      <c r="B25" s="282">
        <v>-47.701000000000001</v>
      </c>
      <c r="C25" s="233">
        <v>-48.628999999999998</v>
      </c>
      <c r="D25" s="233">
        <v>-55.16</v>
      </c>
      <c r="E25" s="233">
        <v>-48.613</v>
      </c>
      <c r="F25" s="233">
        <v>-44.974999999999994</v>
      </c>
      <c r="G25" s="233">
        <v>-43.405000000000001</v>
      </c>
      <c r="H25" s="233">
        <v>-50.419999999999987</v>
      </c>
      <c r="I25" s="233">
        <v>-49.941000000000003</v>
      </c>
      <c r="J25" s="233">
        <v>-41.951000000000008</v>
      </c>
      <c r="K25" s="233">
        <v>-42.585999999999999</v>
      </c>
      <c r="L25" s="233">
        <v>-43.356999999999999</v>
      </c>
      <c r="M25" s="233">
        <v>-43.183999999999997</v>
      </c>
      <c r="N25" s="233">
        <v>-35.635000000000005</v>
      </c>
      <c r="O25" s="233">
        <v>-40.680999999999997</v>
      </c>
      <c r="P25" s="83"/>
      <c r="Q25" s="281">
        <v>-96.33</v>
      </c>
      <c r="R25" s="83">
        <v>-48.628999999999998</v>
      </c>
      <c r="S25" s="83">
        <v>-192.15299999999999</v>
      </c>
      <c r="T25" s="83">
        <v>-136.99299999999999</v>
      </c>
      <c r="U25" s="83">
        <v>-88.38</v>
      </c>
      <c r="V25" s="83">
        <v>-43.405000000000001</v>
      </c>
      <c r="W25" s="83">
        <v>-184.898</v>
      </c>
      <c r="X25" s="83">
        <v>-134.47800000000001</v>
      </c>
      <c r="Y25" s="83">
        <v>-84.537000000000006</v>
      </c>
      <c r="Z25" s="83">
        <v>-42.585999999999999</v>
      </c>
      <c r="AA25" s="83">
        <v>-162.857</v>
      </c>
      <c r="AB25" s="83">
        <v>-119.5</v>
      </c>
      <c r="AC25" s="83">
        <v>-76.316000000000003</v>
      </c>
      <c r="AD25" s="83">
        <v>-40.680999999999997</v>
      </c>
    </row>
    <row r="26" spans="1:30">
      <c r="A26" s="19" t="s">
        <v>92</v>
      </c>
      <c r="B26" s="282">
        <v>56.988999999999983</v>
      </c>
      <c r="C26" s="233">
        <v>50.521999999999998</v>
      </c>
      <c r="D26" s="233">
        <v>45.97</v>
      </c>
      <c r="E26" s="233">
        <v>52.135999999999996</v>
      </c>
      <c r="F26" s="233">
        <v>58.062000000000012</v>
      </c>
      <c r="G26" s="233">
        <v>64.289999999999992</v>
      </c>
      <c r="H26" s="233">
        <v>67.438999999999965</v>
      </c>
      <c r="I26" s="233">
        <v>74.39500000000001</v>
      </c>
      <c r="J26" s="233">
        <v>82.733999999999966</v>
      </c>
      <c r="K26" s="233">
        <v>80.165000000000006</v>
      </c>
      <c r="L26" s="233">
        <v>81.772000000000048</v>
      </c>
      <c r="M26" s="233">
        <v>78.938000000000017</v>
      </c>
      <c r="N26" s="233">
        <v>68.35899999999998</v>
      </c>
      <c r="O26" s="233">
        <v>54.914999999999992</v>
      </c>
      <c r="P26" s="83"/>
      <c r="Q26" s="281">
        <v>107.51099999999998</v>
      </c>
      <c r="R26" s="83">
        <v>50.521999999999998</v>
      </c>
      <c r="S26" s="83">
        <v>220.458</v>
      </c>
      <c r="T26" s="83">
        <v>174.488</v>
      </c>
      <c r="U26" s="83">
        <v>122.352</v>
      </c>
      <c r="V26" s="83">
        <v>64.289999999999992</v>
      </c>
      <c r="W26" s="83">
        <v>304.73299999999995</v>
      </c>
      <c r="X26" s="83">
        <v>237.29399999999998</v>
      </c>
      <c r="Y26" s="83">
        <v>162.89899999999997</v>
      </c>
      <c r="Z26" s="83">
        <v>80.165000000000006</v>
      </c>
      <c r="AA26" s="83">
        <v>283.98400000000004</v>
      </c>
      <c r="AB26" s="83">
        <v>202.21199999999999</v>
      </c>
      <c r="AC26" s="83">
        <v>123.27399999999997</v>
      </c>
      <c r="AD26" s="83">
        <v>54.914999999999992</v>
      </c>
    </row>
    <row r="27" spans="1:30" ht="29.25" customHeight="1">
      <c r="A27" s="79" t="s">
        <v>507</v>
      </c>
      <c r="B27" s="180">
        <v>2.4469999999999996</v>
      </c>
      <c r="C27" s="77">
        <v>-5.3869999999999996</v>
      </c>
      <c r="D27" s="77">
        <v>-3.9809999999999999</v>
      </c>
      <c r="E27" s="77">
        <v>-0.25800000000000001</v>
      </c>
      <c r="F27" s="77">
        <v>-5.1579999999999995</v>
      </c>
      <c r="G27" s="77">
        <v>-2.4910000000000001</v>
      </c>
      <c r="H27" s="77">
        <v>-1.4269999999999996</v>
      </c>
      <c r="I27" s="77">
        <v>-1.2119999999999997</v>
      </c>
      <c r="J27" s="77">
        <v>-8.7560000000000002</v>
      </c>
      <c r="K27" s="77">
        <v>2.3E-2</v>
      </c>
      <c r="L27" s="77">
        <v>5.213000000000001</v>
      </c>
      <c r="M27" s="77">
        <v>-1.2050000000000001</v>
      </c>
      <c r="N27" s="77">
        <v>-2.104000000000001</v>
      </c>
      <c r="O27" s="77">
        <v>-6.6829999999999998</v>
      </c>
      <c r="P27" s="81"/>
      <c r="Q27" s="280">
        <v>-2.94</v>
      </c>
      <c r="R27" s="81">
        <v>-5.3869999999999996</v>
      </c>
      <c r="S27" s="81">
        <v>-11.888</v>
      </c>
      <c r="T27" s="81">
        <v>-7.907</v>
      </c>
      <c r="U27" s="81">
        <v>-7.649</v>
      </c>
      <c r="V27" s="81">
        <v>-2.4910000000000001</v>
      </c>
      <c r="W27" s="81">
        <v>-11.372</v>
      </c>
      <c r="X27" s="81">
        <v>-9.9450000000000003</v>
      </c>
      <c r="Y27" s="81">
        <v>-8.7330000000000005</v>
      </c>
      <c r="Z27" s="81">
        <v>2.3E-2</v>
      </c>
      <c r="AA27" s="81">
        <v>-4.7789999999999999</v>
      </c>
      <c r="AB27" s="81">
        <v>-9.9920000000000009</v>
      </c>
      <c r="AC27" s="81">
        <v>-8.7870000000000008</v>
      </c>
      <c r="AD27" s="81">
        <v>-6.6829999999999998</v>
      </c>
    </row>
    <row r="28" spans="1:30">
      <c r="A28" s="38" t="s">
        <v>93</v>
      </c>
      <c r="B28" s="180">
        <v>0</v>
      </c>
      <c r="C28" s="77">
        <v>0</v>
      </c>
      <c r="D28" s="77">
        <v>0</v>
      </c>
      <c r="E28" s="77">
        <v>0</v>
      </c>
      <c r="F28" s="77">
        <v>0</v>
      </c>
      <c r="G28" s="77">
        <v>0</v>
      </c>
      <c r="H28" s="77">
        <v>0</v>
      </c>
      <c r="I28" s="77">
        <v>0</v>
      </c>
      <c r="J28" s="77">
        <v>0</v>
      </c>
      <c r="K28" s="77">
        <v>0</v>
      </c>
      <c r="L28" s="77">
        <v>0</v>
      </c>
      <c r="M28" s="77">
        <v>0</v>
      </c>
      <c r="N28" s="77">
        <v>0</v>
      </c>
      <c r="O28" s="77">
        <v>0</v>
      </c>
      <c r="P28" s="81"/>
      <c r="Q28" s="280">
        <v>0</v>
      </c>
      <c r="R28" s="81">
        <v>0</v>
      </c>
      <c r="S28" s="81">
        <v>0</v>
      </c>
      <c r="T28" s="81">
        <v>0</v>
      </c>
      <c r="U28" s="81">
        <v>0</v>
      </c>
      <c r="V28" s="81">
        <v>0</v>
      </c>
      <c r="W28" s="81">
        <v>0</v>
      </c>
      <c r="X28" s="81">
        <v>0</v>
      </c>
      <c r="Y28" s="81">
        <v>0</v>
      </c>
      <c r="Z28" s="81">
        <v>0</v>
      </c>
      <c r="AA28" s="81">
        <v>0</v>
      </c>
      <c r="AB28" s="81">
        <v>0</v>
      </c>
      <c r="AC28" s="81">
        <v>0</v>
      </c>
      <c r="AD28" s="81">
        <v>0</v>
      </c>
    </row>
    <row r="29" spans="1:30">
      <c r="A29" s="38" t="s">
        <v>94</v>
      </c>
      <c r="B29" s="180">
        <v>0</v>
      </c>
      <c r="C29" s="77">
        <v>0</v>
      </c>
      <c r="D29" s="77">
        <v>0</v>
      </c>
      <c r="E29" s="77">
        <v>0</v>
      </c>
      <c r="F29" s="77">
        <v>0</v>
      </c>
      <c r="G29" s="77">
        <v>0</v>
      </c>
      <c r="H29" s="77">
        <v>0</v>
      </c>
      <c r="I29" s="77">
        <v>0</v>
      </c>
      <c r="J29" s="77">
        <v>0</v>
      </c>
      <c r="K29" s="77">
        <v>0</v>
      </c>
      <c r="L29" s="77">
        <v>0</v>
      </c>
      <c r="M29" s="77">
        <v>0</v>
      </c>
      <c r="N29" s="77">
        <v>0</v>
      </c>
      <c r="O29" s="77">
        <v>0</v>
      </c>
      <c r="P29" s="81"/>
      <c r="Q29" s="280">
        <v>0</v>
      </c>
      <c r="R29" s="81">
        <v>0</v>
      </c>
      <c r="S29" s="81">
        <v>0</v>
      </c>
      <c r="T29" s="81">
        <v>0</v>
      </c>
      <c r="U29" s="81">
        <v>0</v>
      </c>
      <c r="V29" s="81">
        <v>0</v>
      </c>
      <c r="W29" s="81">
        <v>0</v>
      </c>
      <c r="X29" s="81">
        <v>0</v>
      </c>
      <c r="Y29" s="81">
        <v>0</v>
      </c>
      <c r="Z29" s="81">
        <v>0</v>
      </c>
      <c r="AA29" s="81">
        <v>0</v>
      </c>
      <c r="AB29" s="81">
        <v>0</v>
      </c>
      <c r="AC29" s="81">
        <v>0</v>
      </c>
      <c r="AD29" s="81">
        <v>0</v>
      </c>
    </row>
    <row r="30" spans="1:30">
      <c r="A30" s="38" t="s">
        <v>95</v>
      </c>
      <c r="B30" s="180">
        <v>0</v>
      </c>
      <c r="C30" s="77">
        <v>0</v>
      </c>
      <c r="D30" s="77">
        <v>0</v>
      </c>
      <c r="E30" s="77">
        <v>0</v>
      </c>
      <c r="F30" s="77">
        <v>0</v>
      </c>
      <c r="G30" s="77">
        <v>0</v>
      </c>
      <c r="H30" s="77">
        <v>0</v>
      </c>
      <c r="I30" s="77">
        <v>0</v>
      </c>
      <c r="J30" s="77">
        <v>0</v>
      </c>
      <c r="K30" s="77">
        <v>0</v>
      </c>
      <c r="L30" s="77">
        <v>0</v>
      </c>
      <c r="M30" s="77">
        <v>0</v>
      </c>
      <c r="N30" s="77">
        <v>0</v>
      </c>
      <c r="O30" s="77">
        <v>0</v>
      </c>
      <c r="P30" s="81"/>
      <c r="Q30" s="280">
        <v>0</v>
      </c>
      <c r="R30" s="81">
        <v>0</v>
      </c>
      <c r="S30" s="81">
        <v>0</v>
      </c>
      <c r="T30" s="81">
        <v>0</v>
      </c>
      <c r="U30" s="81">
        <v>0</v>
      </c>
      <c r="V30" s="81">
        <v>0</v>
      </c>
      <c r="W30" s="81">
        <v>0</v>
      </c>
      <c r="X30" s="81">
        <v>0</v>
      </c>
      <c r="Y30" s="81">
        <v>0</v>
      </c>
      <c r="Z30" s="81">
        <v>0</v>
      </c>
      <c r="AA30" s="81">
        <v>0</v>
      </c>
      <c r="AB30" s="81">
        <v>0</v>
      </c>
      <c r="AC30" s="81">
        <v>0</v>
      </c>
      <c r="AD30" s="81">
        <v>0</v>
      </c>
    </row>
    <row r="31" spans="1:30">
      <c r="A31" s="19" t="s">
        <v>96</v>
      </c>
      <c r="B31" s="282">
        <v>59.435999999999986</v>
      </c>
      <c r="C31" s="233">
        <v>45.134999999999998</v>
      </c>
      <c r="D31" s="233">
        <v>41.989000000000004</v>
      </c>
      <c r="E31" s="233">
        <v>51.877999999999986</v>
      </c>
      <c r="F31" s="233">
        <v>52.904000000000011</v>
      </c>
      <c r="G31" s="233">
        <v>61.798999999999992</v>
      </c>
      <c r="H31" s="233">
        <v>66.011999999999944</v>
      </c>
      <c r="I31" s="233">
        <v>73.183000000000021</v>
      </c>
      <c r="J31" s="233">
        <v>73.977999999999966</v>
      </c>
      <c r="K31" s="233">
        <v>80.188000000000002</v>
      </c>
      <c r="L31" s="233">
        <v>86.985000000000042</v>
      </c>
      <c r="M31" s="233">
        <v>77.733000000000033</v>
      </c>
      <c r="N31" s="233">
        <v>66.254999999999967</v>
      </c>
      <c r="O31" s="233">
        <v>48.231999999999992</v>
      </c>
      <c r="P31" s="83"/>
      <c r="Q31" s="281">
        <v>104.57099999999998</v>
      </c>
      <c r="R31" s="83">
        <v>45.134999999999998</v>
      </c>
      <c r="S31" s="83">
        <v>208.57</v>
      </c>
      <c r="T31" s="83">
        <v>166.58099999999999</v>
      </c>
      <c r="U31" s="83">
        <v>114.703</v>
      </c>
      <c r="V31" s="83">
        <v>61.798999999999992</v>
      </c>
      <c r="W31" s="83">
        <v>293.36099999999993</v>
      </c>
      <c r="X31" s="83">
        <v>227.34899999999999</v>
      </c>
      <c r="Y31" s="83">
        <v>154.16599999999997</v>
      </c>
      <c r="Z31" s="83">
        <v>80.188000000000002</v>
      </c>
      <c r="AA31" s="83">
        <v>279.20500000000004</v>
      </c>
      <c r="AB31" s="83">
        <v>192.22</v>
      </c>
      <c r="AC31" s="83">
        <v>114.48699999999997</v>
      </c>
      <c r="AD31" s="83">
        <v>48.231999999999992</v>
      </c>
    </row>
    <row r="32" spans="1:30">
      <c r="A32" s="38" t="s">
        <v>45</v>
      </c>
      <c r="B32" s="180">
        <v>-8.9160000000000004</v>
      </c>
      <c r="C32" s="77">
        <v>-6.77</v>
      </c>
      <c r="D32" s="77">
        <v>5.9666249999999987</v>
      </c>
      <c r="E32" s="77">
        <v>-6.4847499999999982</v>
      </c>
      <c r="F32" s="77">
        <v>-6.6130000000000013</v>
      </c>
      <c r="G32" s="77">
        <v>-7.724874999999999</v>
      </c>
      <c r="H32" s="77">
        <v>-2.5677749999999975</v>
      </c>
      <c r="I32" s="77">
        <v>-10.977450000000001</v>
      </c>
      <c r="J32" s="77">
        <v>-11.096699999999993</v>
      </c>
      <c r="K32" s="77">
        <v>-12.0282</v>
      </c>
      <c r="L32" s="77">
        <v>-10.873125000000005</v>
      </c>
      <c r="M32" s="77">
        <v>-9.7166250000000041</v>
      </c>
      <c r="N32" s="77">
        <v>-8.2818749999999959</v>
      </c>
      <c r="O32" s="77">
        <v>-6.028999999999999</v>
      </c>
      <c r="P32" s="81"/>
      <c r="Q32" s="280">
        <v>-15.686</v>
      </c>
      <c r="R32" s="81">
        <v>-6.77</v>
      </c>
      <c r="S32" s="81">
        <v>-14.856</v>
      </c>
      <c r="T32" s="81">
        <v>-20.822624999999999</v>
      </c>
      <c r="U32" s="81">
        <v>-14.337875</v>
      </c>
      <c r="V32" s="81">
        <v>-7.724874999999999</v>
      </c>
      <c r="W32" s="81">
        <v>-36.670124999999992</v>
      </c>
      <c r="X32" s="81">
        <v>-34.102349999999994</v>
      </c>
      <c r="Y32" s="81">
        <v>-23.124899999999993</v>
      </c>
      <c r="Z32" s="81">
        <v>-12.0282</v>
      </c>
      <c r="AA32" s="81">
        <v>-34.900625000000005</v>
      </c>
      <c r="AB32" s="81">
        <v>-24.0275</v>
      </c>
      <c r="AC32" s="81">
        <v>-14.310874999999996</v>
      </c>
      <c r="AD32" s="81">
        <v>-6.028999999999999</v>
      </c>
    </row>
    <row r="33" spans="1:30">
      <c r="A33" s="38" t="s">
        <v>97</v>
      </c>
      <c r="B33" s="180">
        <v>0</v>
      </c>
      <c r="C33" s="77">
        <v>0</v>
      </c>
      <c r="D33" s="77">
        <v>0</v>
      </c>
      <c r="E33" s="77">
        <v>0</v>
      </c>
      <c r="F33" s="77">
        <v>0</v>
      </c>
      <c r="G33" s="77">
        <v>0</v>
      </c>
      <c r="H33" s="77">
        <v>0</v>
      </c>
      <c r="I33" s="77">
        <v>0</v>
      </c>
      <c r="J33" s="77">
        <v>0</v>
      </c>
      <c r="K33" s="77">
        <v>0</v>
      </c>
      <c r="L33" s="77">
        <v>0</v>
      </c>
      <c r="M33" s="77">
        <v>0</v>
      </c>
      <c r="N33" s="77">
        <v>0</v>
      </c>
      <c r="O33" s="77">
        <v>0</v>
      </c>
      <c r="P33" s="81"/>
      <c r="Q33" s="280">
        <v>0</v>
      </c>
      <c r="R33" s="81">
        <v>0</v>
      </c>
      <c r="S33" s="81">
        <v>0</v>
      </c>
      <c r="T33" s="81">
        <v>0</v>
      </c>
      <c r="U33" s="81">
        <v>0</v>
      </c>
      <c r="V33" s="81">
        <v>0</v>
      </c>
      <c r="W33" s="81">
        <v>0</v>
      </c>
      <c r="X33" s="81">
        <v>0</v>
      </c>
      <c r="Y33" s="81">
        <v>0</v>
      </c>
      <c r="Z33" s="81">
        <v>0</v>
      </c>
      <c r="AA33" s="81">
        <v>0</v>
      </c>
      <c r="AB33" s="81">
        <v>0</v>
      </c>
      <c r="AC33" s="81">
        <v>0</v>
      </c>
      <c r="AD33" s="81">
        <v>0</v>
      </c>
    </row>
    <row r="34" spans="1:30">
      <c r="A34" s="19" t="s">
        <v>98</v>
      </c>
      <c r="B34" s="282">
        <v>50.519999999999996</v>
      </c>
      <c r="C34" s="233">
        <v>38.364999999999995</v>
      </c>
      <c r="D34" s="233">
        <v>47.955624999999998</v>
      </c>
      <c r="E34" s="233">
        <v>45.393249999999995</v>
      </c>
      <c r="F34" s="233">
        <v>46.291000000000011</v>
      </c>
      <c r="G34" s="233">
        <v>54.074124999999995</v>
      </c>
      <c r="H34" s="233">
        <v>63.44422499999996</v>
      </c>
      <c r="I34" s="233">
        <v>62.205550000000017</v>
      </c>
      <c r="J34" s="233">
        <v>62.881299999999968</v>
      </c>
      <c r="K34" s="233">
        <v>68.159800000000004</v>
      </c>
      <c r="L34" s="233">
        <v>76.111875000000055</v>
      </c>
      <c r="M34" s="233">
        <v>68.016375000000025</v>
      </c>
      <c r="N34" s="233">
        <v>57.973124999999975</v>
      </c>
      <c r="O34" s="233">
        <v>42.202999999999996</v>
      </c>
      <c r="P34" s="83"/>
      <c r="Q34" s="281">
        <v>88.884999999999991</v>
      </c>
      <c r="R34" s="83">
        <v>38.364999999999995</v>
      </c>
      <c r="S34" s="83">
        <v>193.714</v>
      </c>
      <c r="T34" s="83">
        <v>145.758375</v>
      </c>
      <c r="U34" s="83">
        <v>100.36512500000001</v>
      </c>
      <c r="V34" s="83">
        <v>54.074124999999995</v>
      </c>
      <c r="W34" s="83">
        <v>256.69087499999995</v>
      </c>
      <c r="X34" s="83">
        <v>193.24664999999999</v>
      </c>
      <c r="Y34" s="83">
        <v>131.04109999999997</v>
      </c>
      <c r="Z34" s="83">
        <v>68.159800000000004</v>
      </c>
      <c r="AA34" s="83">
        <v>244.30437500000005</v>
      </c>
      <c r="AB34" s="83">
        <v>168.1925</v>
      </c>
      <c r="AC34" s="83">
        <v>100.17612499999997</v>
      </c>
      <c r="AD34" s="83">
        <v>42.202999999999996</v>
      </c>
    </row>
    <row r="35" spans="1:30">
      <c r="A35" s="25"/>
      <c r="B35" s="25"/>
      <c r="C35" s="25"/>
      <c r="D35" s="25"/>
      <c r="E35" s="25"/>
      <c r="F35" s="25"/>
      <c r="G35" s="25"/>
      <c r="H35" s="25"/>
      <c r="I35" s="25"/>
      <c r="J35" s="25"/>
      <c r="K35" s="25"/>
      <c r="L35" s="25"/>
      <c r="M35" s="25"/>
      <c r="N35" s="25"/>
      <c r="O35" s="25"/>
      <c r="P35" s="82"/>
      <c r="Q35" s="81"/>
      <c r="R35" s="81"/>
      <c r="S35" s="81"/>
      <c r="T35" s="81"/>
      <c r="U35" s="81"/>
      <c r="V35" s="81"/>
      <c r="W35" s="81"/>
      <c r="X35" s="81"/>
      <c r="Y35" s="81"/>
      <c r="Z35" s="81"/>
      <c r="AA35" s="81"/>
      <c r="AB35" s="81"/>
      <c r="AC35" s="81"/>
      <c r="AD35" s="81"/>
    </row>
    <row r="36" spans="1:30">
      <c r="A36" s="19" t="s">
        <v>33</v>
      </c>
      <c r="B36" s="75" t="s">
        <v>552</v>
      </c>
      <c r="C36" s="75" t="s">
        <v>500</v>
      </c>
      <c r="D36" s="75" t="s">
        <v>444</v>
      </c>
      <c r="E36" s="75" t="s">
        <v>441</v>
      </c>
      <c r="F36" s="75" t="s">
        <v>424</v>
      </c>
      <c r="G36" s="75" t="s">
        <v>370</v>
      </c>
      <c r="H36" s="75" t="s">
        <v>364</v>
      </c>
      <c r="I36" s="75" t="s">
        <v>335</v>
      </c>
      <c r="J36" s="75" t="s">
        <v>327</v>
      </c>
      <c r="K36" s="75" t="s">
        <v>320</v>
      </c>
      <c r="L36" s="75" t="s">
        <v>313</v>
      </c>
      <c r="M36" s="75" t="s">
        <v>285</v>
      </c>
      <c r="N36" s="75" t="s">
        <v>278</v>
      </c>
      <c r="O36" s="75" t="s">
        <v>273</v>
      </c>
      <c r="P36" s="75"/>
      <c r="Q36" s="75" t="s">
        <v>553</v>
      </c>
      <c r="R36" s="75" t="s">
        <v>501</v>
      </c>
      <c r="S36" s="75" t="s">
        <v>445</v>
      </c>
      <c r="T36" s="75" t="s">
        <v>442</v>
      </c>
      <c r="U36" s="75" t="s">
        <v>425</v>
      </c>
      <c r="V36" s="75" t="s">
        <v>371</v>
      </c>
      <c r="W36" s="75" t="s">
        <v>365</v>
      </c>
      <c r="X36" s="75" t="s">
        <v>336</v>
      </c>
      <c r="Y36" s="75" t="s">
        <v>328</v>
      </c>
      <c r="Z36" s="75" t="s">
        <v>321</v>
      </c>
      <c r="AA36" s="75" t="s">
        <v>314</v>
      </c>
      <c r="AB36" s="75" t="s">
        <v>286</v>
      </c>
      <c r="AC36" s="75" t="s">
        <v>279</v>
      </c>
      <c r="AD36" s="75" t="s">
        <v>274</v>
      </c>
    </row>
    <row r="37" spans="1:30">
      <c r="A37" s="21" t="s">
        <v>99</v>
      </c>
      <c r="B37" s="21"/>
      <c r="C37" s="21"/>
      <c r="D37" s="21"/>
      <c r="E37" s="21"/>
      <c r="F37" s="21"/>
      <c r="G37" s="21"/>
      <c r="H37" s="21"/>
      <c r="I37" s="21"/>
      <c r="J37" s="21"/>
      <c r="K37" s="21"/>
      <c r="L37" s="21"/>
      <c r="M37" s="21"/>
      <c r="N37" s="21"/>
      <c r="O37" s="21"/>
      <c r="P37" s="85"/>
      <c r="Q37" s="85"/>
      <c r="R37" s="85"/>
      <c r="S37" s="85"/>
      <c r="T37" s="85"/>
      <c r="U37" s="85"/>
      <c r="V37" s="85"/>
      <c r="W37" s="85"/>
      <c r="X37" s="85"/>
      <c r="Y37" s="85"/>
      <c r="Z37" s="85"/>
      <c r="AA37" s="85"/>
      <c r="AB37" s="85"/>
      <c r="AC37" s="85"/>
      <c r="AD37" s="85"/>
    </row>
    <row r="38" spans="1:30">
      <c r="A38" s="38" t="s">
        <v>34</v>
      </c>
      <c r="B38" s="180">
        <v>13.401999999999999</v>
      </c>
      <c r="C38" s="77">
        <v>12.824</v>
      </c>
      <c r="D38" s="77">
        <v>13.136000000000003</v>
      </c>
      <c r="E38" s="77">
        <v>12.796999999999997</v>
      </c>
      <c r="F38" s="77">
        <v>13.11</v>
      </c>
      <c r="G38" s="77">
        <v>13.384</v>
      </c>
      <c r="H38" s="77">
        <v>14.399000000000001</v>
      </c>
      <c r="I38" s="77">
        <v>15.123000000000001</v>
      </c>
      <c r="J38" s="77">
        <v>14.939</v>
      </c>
      <c r="K38" s="77">
        <v>14.516999999999999</v>
      </c>
      <c r="L38" s="77">
        <v>15.469999999999999</v>
      </c>
      <c r="M38" s="77">
        <v>15.077999999999999</v>
      </c>
      <c r="N38" s="77">
        <v>12.438000000000001</v>
      </c>
      <c r="O38" s="77">
        <v>13.365</v>
      </c>
      <c r="P38" s="81"/>
      <c r="Q38" s="280">
        <v>26.225999999999999</v>
      </c>
      <c r="R38" s="81">
        <v>12.824</v>
      </c>
      <c r="S38" s="81">
        <v>52.427</v>
      </c>
      <c r="T38" s="81">
        <v>39.290999999999997</v>
      </c>
      <c r="U38" s="81">
        <v>26.494</v>
      </c>
      <c r="V38" s="81">
        <v>13.384</v>
      </c>
      <c r="W38" s="81">
        <v>58.978000000000002</v>
      </c>
      <c r="X38" s="81">
        <v>44.579000000000001</v>
      </c>
      <c r="Y38" s="81">
        <v>29.456</v>
      </c>
      <c r="Z38" s="81">
        <v>14.516999999999999</v>
      </c>
      <c r="AA38" s="81">
        <v>56.350999999999999</v>
      </c>
      <c r="AB38" s="81">
        <v>40.881</v>
      </c>
      <c r="AC38" s="81">
        <v>25.803000000000001</v>
      </c>
      <c r="AD38" s="81">
        <v>13.365</v>
      </c>
    </row>
    <row r="39" spans="1:30">
      <c r="A39" s="38" t="s">
        <v>91</v>
      </c>
      <c r="B39" s="180">
        <v>2.6740000000000004</v>
      </c>
      <c r="C39" s="77">
        <v>2.6269999999999998</v>
      </c>
      <c r="D39" s="77">
        <v>2.5459999999999994</v>
      </c>
      <c r="E39" s="77">
        <v>2.7370000000000001</v>
      </c>
      <c r="F39" s="77">
        <v>2.66</v>
      </c>
      <c r="G39" s="77">
        <v>2.5640000000000001</v>
      </c>
      <c r="H39" s="77">
        <v>2.4640000000000004</v>
      </c>
      <c r="I39" s="77">
        <v>2.66</v>
      </c>
      <c r="J39" s="77">
        <v>2.3169999999999997</v>
      </c>
      <c r="K39" s="77">
        <v>2.2570000000000001</v>
      </c>
      <c r="L39" s="77">
        <v>2.8040000000000003</v>
      </c>
      <c r="M39" s="77">
        <v>2.3229999999999995</v>
      </c>
      <c r="N39" s="77">
        <v>2.6860000000000004</v>
      </c>
      <c r="O39" s="77">
        <v>2.6389999999999998</v>
      </c>
      <c r="P39" s="81"/>
      <c r="Q39" s="280">
        <v>5.3010000000000002</v>
      </c>
      <c r="R39" s="81">
        <v>2.6269999999999998</v>
      </c>
      <c r="S39" s="81">
        <v>10.507</v>
      </c>
      <c r="T39" s="81">
        <v>7.9610000000000003</v>
      </c>
      <c r="U39" s="81">
        <v>5.2240000000000002</v>
      </c>
      <c r="V39" s="81">
        <v>2.5640000000000001</v>
      </c>
      <c r="W39" s="81">
        <v>9.6980000000000004</v>
      </c>
      <c r="X39" s="81">
        <v>7.234</v>
      </c>
      <c r="Y39" s="81">
        <v>4.5739999999999998</v>
      </c>
      <c r="Z39" s="81">
        <v>2.2570000000000001</v>
      </c>
      <c r="AA39" s="81">
        <v>10.452</v>
      </c>
      <c r="AB39" s="81">
        <v>7.6479999999999997</v>
      </c>
      <c r="AC39" s="81">
        <v>5.3250000000000002</v>
      </c>
      <c r="AD39" s="81">
        <v>2.6389999999999998</v>
      </c>
    </row>
    <row r="40" spans="1:30">
      <c r="A40" s="38" t="s">
        <v>36</v>
      </c>
      <c r="B40" s="180">
        <v>0.19800000000000001</v>
      </c>
      <c r="C40" s="77">
        <v>0.20300000000000001</v>
      </c>
      <c r="D40" s="77">
        <v>0.22799999999999998</v>
      </c>
      <c r="E40" s="77">
        <v>0.22300000000000003</v>
      </c>
      <c r="F40" s="77">
        <v>0.22700000000000001</v>
      </c>
      <c r="G40" s="77">
        <v>0.20699999999999999</v>
      </c>
      <c r="H40" s="77">
        <v>0.21200000000000008</v>
      </c>
      <c r="I40" s="77">
        <v>0.20499999999999996</v>
      </c>
      <c r="J40" s="77">
        <v>0.187</v>
      </c>
      <c r="K40" s="77">
        <v>0.184</v>
      </c>
      <c r="L40" s="77">
        <v>0.26999999999999996</v>
      </c>
      <c r="M40" s="77">
        <v>0.14700000000000002</v>
      </c>
      <c r="N40" s="77">
        <v>0.16199999999999998</v>
      </c>
      <c r="O40" s="77">
        <v>0.13700000000000001</v>
      </c>
      <c r="P40" s="81"/>
      <c r="Q40" s="280">
        <v>0.40100000000000002</v>
      </c>
      <c r="R40" s="81">
        <v>0.20300000000000001</v>
      </c>
      <c r="S40" s="81">
        <v>0.88500000000000001</v>
      </c>
      <c r="T40" s="81">
        <v>0.65700000000000003</v>
      </c>
      <c r="U40" s="81">
        <v>0.434</v>
      </c>
      <c r="V40" s="81">
        <v>0.20699999999999999</v>
      </c>
      <c r="W40" s="81">
        <v>0.78800000000000003</v>
      </c>
      <c r="X40" s="81">
        <v>0.57599999999999996</v>
      </c>
      <c r="Y40" s="81">
        <v>0.371</v>
      </c>
      <c r="Z40" s="81">
        <v>0.184</v>
      </c>
      <c r="AA40" s="81">
        <v>0.71599999999999997</v>
      </c>
      <c r="AB40" s="81">
        <v>0.44600000000000001</v>
      </c>
      <c r="AC40" s="81">
        <v>0.29899999999999999</v>
      </c>
      <c r="AD40" s="81">
        <v>0.13700000000000001</v>
      </c>
    </row>
    <row r="41" spans="1:30">
      <c r="A41" s="19" t="s">
        <v>37</v>
      </c>
      <c r="B41" s="282">
        <v>16.274000000000001</v>
      </c>
      <c r="C41" s="233">
        <v>15.654</v>
      </c>
      <c r="D41" s="233">
        <v>15.910000000000004</v>
      </c>
      <c r="E41" s="233">
        <v>15.756999999999991</v>
      </c>
      <c r="F41" s="233">
        <v>15.997</v>
      </c>
      <c r="G41" s="233">
        <v>16.155000000000001</v>
      </c>
      <c r="H41" s="233">
        <v>17.074999999999996</v>
      </c>
      <c r="I41" s="233">
        <v>17.988</v>
      </c>
      <c r="J41" s="233">
        <v>17.443000000000001</v>
      </c>
      <c r="K41" s="233">
        <v>16.958000000000002</v>
      </c>
      <c r="L41" s="233">
        <v>18.543999999999997</v>
      </c>
      <c r="M41" s="233">
        <v>17.547999999999995</v>
      </c>
      <c r="N41" s="233">
        <v>15.285999999999998</v>
      </c>
      <c r="O41" s="233">
        <v>16.141000000000002</v>
      </c>
      <c r="P41" s="83"/>
      <c r="Q41" s="281">
        <v>31.928000000000001</v>
      </c>
      <c r="R41" s="83">
        <v>15.654</v>
      </c>
      <c r="S41" s="83">
        <v>63.818999999999996</v>
      </c>
      <c r="T41" s="83">
        <v>47.908999999999992</v>
      </c>
      <c r="U41" s="83">
        <v>32.152000000000001</v>
      </c>
      <c r="V41" s="83">
        <v>16.155000000000001</v>
      </c>
      <c r="W41" s="83">
        <v>69.463999999999999</v>
      </c>
      <c r="X41" s="83">
        <v>52.389000000000003</v>
      </c>
      <c r="Y41" s="83">
        <v>34.401000000000003</v>
      </c>
      <c r="Z41" s="83">
        <v>16.958000000000002</v>
      </c>
      <c r="AA41" s="83">
        <v>67.518999999999991</v>
      </c>
      <c r="AB41" s="83">
        <v>48.974999999999994</v>
      </c>
      <c r="AC41" s="83">
        <v>31.427</v>
      </c>
      <c r="AD41" s="83">
        <v>16.141000000000002</v>
      </c>
    </row>
    <row r="42" spans="1:30">
      <c r="A42" s="19" t="s">
        <v>40</v>
      </c>
      <c r="B42" s="282">
        <v>-5.9930000000000003</v>
      </c>
      <c r="C42" s="233">
        <v>-6.1959999999999997</v>
      </c>
      <c r="D42" s="233">
        <v>-7.7639999999999993</v>
      </c>
      <c r="E42" s="233">
        <v>-5.9819999999999993</v>
      </c>
      <c r="F42" s="233">
        <v>-5.947000000000001</v>
      </c>
      <c r="G42" s="233">
        <v>-5.67</v>
      </c>
      <c r="H42" s="233">
        <v>-5.8610000000000007</v>
      </c>
      <c r="I42" s="233">
        <v>-5.8529999999999998</v>
      </c>
      <c r="J42" s="233">
        <v>-5.6309999999999993</v>
      </c>
      <c r="K42" s="233">
        <v>-5.9279999999999999</v>
      </c>
      <c r="L42" s="233">
        <v>-6.1090000000000018</v>
      </c>
      <c r="M42" s="233">
        <v>-5.8569999999999975</v>
      </c>
      <c r="N42" s="233">
        <v>-5.1700000000000008</v>
      </c>
      <c r="O42" s="233">
        <v>-5.242</v>
      </c>
      <c r="P42" s="83"/>
      <c r="Q42" s="281">
        <v>-12.189</v>
      </c>
      <c r="R42" s="83">
        <v>-6.1959999999999997</v>
      </c>
      <c r="S42" s="83">
        <v>-25.363</v>
      </c>
      <c r="T42" s="83">
        <v>-17.599</v>
      </c>
      <c r="U42" s="83">
        <v>-11.617000000000001</v>
      </c>
      <c r="V42" s="83">
        <v>-5.67</v>
      </c>
      <c r="W42" s="83">
        <v>-23.273</v>
      </c>
      <c r="X42" s="83">
        <v>-17.411999999999999</v>
      </c>
      <c r="Y42" s="83">
        <v>-11.558999999999999</v>
      </c>
      <c r="Z42" s="83">
        <v>-5.9279999999999999</v>
      </c>
      <c r="AA42" s="83">
        <v>-22.378</v>
      </c>
      <c r="AB42" s="83">
        <v>-16.268999999999998</v>
      </c>
      <c r="AC42" s="83">
        <v>-10.412000000000001</v>
      </c>
      <c r="AD42" s="83">
        <v>-5.242</v>
      </c>
    </row>
    <row r="43" spans="1:30">
      <c r="A43" s="19" t="s">
        <v>92</v>
      </c>
      <c r="B43" s="282">
        <v>10.281000000000001</v>
      </c>
      <c r="C43" s="233">
        <v>9.4580000000000002</v>
      </c>
      <c r="D43" s="233">
        <v>8.1460000000000043</v>
      </c>
      <c r="E43" s="233">
        <v>9.7749999999999915</v>
      </c>
      <c r="F43" s="233">
        <v>10.049999999999999</v>
      </c>
      <c r="G43" s="233">
        <v>10.485000000000001</v>
      </c>
      <c r="H43" s="233">
        <v>11.213999999999999</v>
      </c>
      <c r="I43" s="233">
        <v>12.134999999999998</v>
      </c>
      <c r="J43" s="233">
        <v>11.812000000000005</v>
      </c>
      <c r="K43" s="233">
        <v>11.030000000000001</v>
      </c>
      <c r="L43" s="233">
        <v>12.434999999999995</v>
      </c>
      <c r="M43" s="233">
        <v>11.690999999999995</v>
      </c>
      <c r="N43" s="233">
        <v>10.116</v>
      </c>
      <c r="O43" s="233">
        <v>10.899000000000001</v>
      </c>
      <c r="P43" s="83"/>
      <c r="Q43" s="281">
        <v>19.739000000000001</v>
      </c>
      <c r="R43" s="83">
        <v>9.4580000000000002</v>
      </c>
      <c r="S43" s="83">
        <v>38.455999999999996</v>
      </c>
      <c r="T43" s="83">
        <v>30.309999999999992</v>
      </c>
      <c r="U43" s="83">
        <v>20.535</v>
      </c>
      <c r="V43" s="83">
        <v>10.485000000000001</v>
      </c>
      <c r="W43" s="83">
        <v>46.191000000000003</v>
      </c>
      <c r="X43" s="83">
        <v>34.977000000000004</v>
      </c>
      <c r="Y43" s="83">
        <v>22.842000000000006</v>
      </c>
      <c r="Z43" s="83">
        <v>11.030000000000001</v>
      </c>
      <c r="AA43" s="83">
        <v>45.140999999999991</v>
      </c>
      <c r="AB43" s="83">
        <v>32.705999999999996</v>
      </c>
      <c r="AC43" s="83">
        <v>21.015000000000001</v>
      </c>
      <c r="AD43" s="83">
        <v>10.899000000000001</v>
      </c>
    </row>
    <row r="44" spans="1:30" ht="27.75" customHeight="1">
      <c r="A44" s="79" t="s">
        <v>507</v>
      </c>
      <c r="B44" s="180">
        <v>0.88100000000000001</v>
      </c>
      <c r="C44" s="77">
        <v>-2.6339999999999999</v>
      </c>
      <c r="D44" s="77">
        <v>-1.742</v>
      </c>
      <c r="E44" s="77">
        <v>1.2130000000000001</v>
      </c>
      <c r="F44" s="77">
        <v>-2.7679999999999998</v>
      </c>
      <c r="G44" s="77">
        <v>-3.798</v>
      </c>
      <c r="H44" s="77">
        <v>0.80200000000000005</v>
      </c>
      <c r="I44" s="77">
        <v>-0.9910000000000001</v>
      </c>
      <c r="J44" s="77">
        <v>-2.484</v>
      </c>
      <c r="K44" s="77">
        <v>1.518</v>
      </c>
      <c r="L44" s="77">
        <v>-0.48599999999999999</v>
      </c>
      <c r="M44" s="77">
        <v>-0.81100000000000005</v>
      </c>
      <c r="N44" s="77">
        <v>-1.3980000000000001</v>
      </c>
      <c r="O44" s="77">
        <v>1.02</v>
      </c>
      <c r="P44" s="81"/>
      <c r="Q44" s="280">
        <v>-1.7529999999999999</v>
      </c>
      <c r="R44" s="81">
        <v>-2.6339999999999999</v>
      </c>
      <c r="S44" s="81">
        <v>-7.0949999999999998</v>
      </c>
      <c r="T44" s="81">
        <v>-5.3529999999999998</v>
      </c>
      <c r="U44" s="81">
        <v>-6.5659999999999998</v>
      </c>
      <c r="V44" s="81">
        <v>-3.798</v>
      </c>
      <c r="W44" s="81">
        <v>-1.155</v>
      </c>
      <c r="X44" s="81">
        <v>-1.9570000000000001</v>
      </c>
      <c r="Y44" s="81">
        <v>-0.96599999999999997</v>
      </c>
      <c r="Z44" s="81">
        <v>1.518</v>
      </c>
      <c r="AA44" s="81">
        <v>-1.675</v>
      </c>
      <c r="AB44" s="81">
        <v>-1.1890000000000001</v>
      </c>
      <c r="AC44" s="81">
        <v>-0.378</v>
      </c>
      <c r="AD44" s="81">
        <v>1.02</v>
      </c>
    </row>
    <row r="45" spans="1:30">
      <c r="A45" s="38" t="s">
        <v>93</v>
      </c>
      <c r="B45" s="180">
        <v>0</v>
      </c>
      <c r="C45" s="77">
        <v>0</v>
      </c>
      <c r="D45" s="77">
        <v>0</v>
      </c>
      <c r="E45" s="77">
        <v>0</v>
      </c>
      <c r="F45" s="77">
        <v>0</v>
      </c>
      <c r="G45" s="77">
        <v>0</v>
      </c>
      <c r="H45" s="77">
        <v>0</v>
      </c>
      <c r="I45" s="77">
        <v>0</v>
      </c>
      <c r="J45" s="77">
        <v>0</v>
      </c>
      <c r="K45" s="77">
        <v>0</v>
      </c>
      <c r="L45" s="77">
        <v>0</v>
      </c>
      <c r="M45" s="77">
        <v>0</v>
      </c>
      <c r="N45" s="77">
        <v>0</v>
      </c>
      <c r="O45" s="77">
        <v>0</v>
      </c>
      <c r="P45" s="81"/>
      <c r="Q45" s="280">
        <v>0</v>
      </c>
      <c r="R45" s="81">
        <v>0</v>
      </c>
      <c r="S45" s="81">
        <v>0</v>
      </c>
      <c r="T45" s="81">
        <v>0</v>
      </c>
      <c r="U45" s="81">
        <v>0</v>
      </c>
      <c r="V45" s="81">
        <v>0</v>
      </c>
      <c r="W45" s="81">
        <v>0</v>
      </c>
      <c r="X45" s="81">
        <v>0</v>
      </c>
      <c r="Y45" s="81">
        <v>0</v>
      </c>
      <c r="Z45" s="81">
        <v>0</v>
      </c>
      <c r="AA45" s="81">
        <v>0</v>
      </c>
      <c r="AB45" s="81">
        <v>0</v>
      </c>
      <c r="AC45" s="81">
        <v>0</v>
      </c>
      <c r="AD45" s="81">
        <v>0</v>
      </c>
    </row>
    <row r="46" spans="1:30">
      <c r="A46" s="38" t="s">
        <v>94</v>
      </c>
      <c r="B46" s="180">
        <v>0</v>
      </c>
      <c r="C46" s="77">
        <v>0</v>
      </c>
      <c r="D46" s="77">
        <v>0</v>
      </c>
      <c r="E46" s="77">
        <v>0</v>
      </c>
      <c r="F46" s="77">
        <v>0</v>
      </c>
      <c r="G46" s="77">
        <v>0</v>
      </c>
      <c r="H46" s="77">
        <v>0</v>
      </c>
      <c r="I46" s="77">
        <v>0</v>
      </c>
      <c r="J46" s="77">
        <v>0</v>
      </c>
      <c r="K46" s="77">
        <v>0</v>
      </c>
      <c r="L46" s="77">
        <v>0</v>
      </c>
      <c r="M46" s="77">
        <v>0</v>
      </c>
      <c r="N46" s="77">
        <v>0</v>
      </c>
      <c r="O46" s="77">
        <v>0</v>
      </c>
      <c r="P46" s="81"/>
      <c r="Q46" s="280">
        <v>0</v>
      </c>
      <c r="R46" s="81">
        <v>0</v>
      </c>
      <c r="S46" s="81">
        <v>0</v>
      </c>
      <c r="T46" s="81">
        <v>0</v>
      </c>
      <c r="U46" s="81">
        <v>0</v>
      </c>
      <c r="V46" s="81">
        <v>0</v>
      </c>
      <c r="W46" s="81">
        <v>0</v>
      </c>
      <c r="X46" s="81">
        <v>0</v>
      </c>
      <c r="Y46" s="81">
        <v>0</v>
      </c>
      <c r="Z46" s="81">
        <v>0</v>
      </c>
      <c r="AA46" s="81">
        <v>0</v>
      </c>
      <c r="AB46" s="81">
        <v>0</v>
      </c>
      <c r="AC46" s="81">
        <v>0</v>
      </c>
      <c r="AD46" s="81">
        <v>0</v>
      </c>
    </row>
    <row r="47" spans="1:30">
      <c r="A47" s="38" t="s">
        <v>95</v>
      </c>
      <c r="B47" s="180">
        <v>0</v>
      </c>
      <c r="C47" s="77">
        <v>0</v>
      </c>
      <c r="D47" s="77">
        <v>0</v>
      </c>
      <c r="E47" s="77">
        <v>0</v>
      </c>
      <c r="F47" s="77">
        <v>0</v>
      </c>
      <c r="G47" s="77">
        <v>0</v>
      </c>
      <c r="H47" s="77">
        <v>0</v>
      </c>
      <c r="I47" s="77">
        <v>0</v>
      </c>
      <c r="J47" s="77">
        <v>0</v>
      </c>
      <c r="K47" s="77">
        <v>0</v>
      </c>
      <c r="L47" s="77">
        <v>0</v>
      </c>
      <c r="M47" s="77">
        <v>0</v>
      </c>
      <c r="N47" s="77">
        <v>0</v>
      </c>
      <c r="O47" s="77">
        <v>0</v>
      </c>
      <c r="P47" s="81"/>
      <c r="Q47" s="280">
        <v>0</v>
      </c>
      <c r="R47" s="81">
        <v>0</v>
      </c>
      <c r="S47" s="81">
        <v>0</v>
      </c>
      <c r="T47" s="81">
        <v>0</v>
      </c>
      <c r="U47" s="81">
        <v>0</v>
      </c>
      <c r="V47" s="81">
        <v>0</v>
      </c>
      <c r="W47" s="81">
        <v>0</v>
      </c>
      <c r="X47" s="81">
        <v>0</v>
      </c>
      <c r="Y47" s="81">
        <v>0</v>
      </c>
      <c r="Z47" s="81">
        <v>0</v>
      </c>
      <c r="AA47" s="81">
        <v>0</v>
      </c>
      <c r="AB47" s="81">
        <v>0</v>
      </c>
      <c r="AC47" s="81">
        <v>0</v>
      </c>
      <c r="AD47" s="81">
        <v>0</v>
      </c>
    </row>
    <row r="48" spans="1:30">
      <c r="A48" s="19" t="s">
        <v>96</v>
      </c>
      <c r="B48" s="282">
        <v>11.162000000000001</v>
      </c>
      <c r="C48" s="233">
        <v>6.8239999999999998</v>
      </c>
      <c r="D48" s="233">
        <v>6.4040000000000035</v>
      </c>
      <c r="E48" s="233">
        <v>10.987999999999992</v>
      </c>
      <c r="F48" s="233">
        <v>7.282</v>
      </c>
      <c r="G48" s="233">
        <v>6.6870000000000012</v>
      </c>
      <c r="H48" s="233">
        <v>12.015999999999998</v>
      </c>
      <c r="I48" s="233">
        <v>11.143999999999998</v>
      </c>
      <c r="J48" s="233">
        <v>9.328000000000003</v>
      </c>
      <c r="K48" s="233">
        <v>12.548000000000002</v>
      </c>
      <c r="L48" s="233">
        <v>11.948999999999998</v>
      </c>
      <c r="M48" s="233">
        <v>10.879999999999995</v>
      </c>
      <c r="N48" s="233">
        <v>8.718</v>
      </c>
      <c r="O48" s="233">
        <v>11.919</v>
      </c>
      <c r="P48" s="83"/>
      <c r="Q48" s="281">
        <v>17.986000000000001</v>
      </c>
      <c r="R48" s="83">
        <v>6.8239999999999998</v>
      </c>
      <c r="S48" s="83">
        <v>31.360999999999997</v>
      </c>
      <c r="T48" s="83">
        <v>24.956999999999994</v>
      </c>
      <c r="U48" s="83">
        <v>13.969000000000001</v>
      </c>
      <c r="V48" s="83">
        <v>6.6870000000000012</v>
      </c>
      <c r="W48" s="83">
        <v>45.036000000000001</v>
      </c>
      <c r="X48" s="83">
        <v>33.020000000000003</v>
      </c>
      <c r="Y48" s="83">
        <v>21.876000000000005</v>
      </c>
      <c r="Z48" s="83">
        <v>12.548000000000002</v>
      </c>
      <c r="AA48" s="83">
        <v>43.465999999999994</v>
      </c>
      <c r="AB48" s="83">
        <v>31.516999999999996</v>
      </c>
      <c r="AC48" s="83">
        <v>20.637</v>
      </c>
      <c r="AD48" s="83">
        <v>11.919</v>
      </c>
    </row>
    <row r="49" spans="1:30">
      <c r="A49" s="38" t="s">
        <v>45</v>
      </c>
      <c r="B49" s="180">
        <v>-1.675</v>
      </c>
      <c r="C49" s="77">
        <v>-1.0229999999999999</v>
      </c>
      <c r="D49" s="77">
        <v>1.3146249999999993</v>
      </c>
      <c r="E49" s="77">
        <v>-1.3734999999999991</v>
      </c>
      <c r="F49" s="77">
        <v>-0.91025</v>
      </c>
      <c r="G49" s="77">
        <v>-0.83587500000000015</v>
      </c>
      <c r="H49" s="77">
        <v>-0.67649999999999988</v>
      </c>
      <c r="I49" s="77">
        <v>-1.6715999999999998</v>
      </c>
      <c r="J49" s="77">
        <v>-1.3992000000000004</v>
      </c>
      <c r="K49" s="77">
        <v>-1.8822000000000001</v>
      </c>
      <c r="L49" s="77">
        <v>-1.4936249999999998</v>
      </c>
      <c r="M49" s="77">
        <v>-1.3599999999999994</v>
      </c>
      <c r="N49" s="77">
        <v>-1.08975</v>
      </c>
      <c r="O49" s="77">
        <v>-1.4898750000000001</v>
      </c>
      <c r="P49" s="81"/>
      <c r="Q49" s="280">
        <v>-2.698</v>
      </c>
      <c r="R49" s="81">
        <v>-1.0229999999999999</v>
      </c>
      <c r="S49" s="81">
        <v>-1.8049999999999999</v>
      </c>
      <c r="T49" s="81">
        <v>-3.1196249999999992</v>
      </c>
      <c r="U49" s="81">
        <v>-1.7461250000000001</v>
      </c>
      <c r="V49" s="81">
        <v>-0.83587500000000015</v>
      </c>
      <c r="W49" s="81">
        <v>-5.6295000000000002</v>
      </c>
      <c r="X49" s="81">
        <v>-4.9530000000000003</v>
      </c>
      <c r="Y49" s="81">
        <v>-3.2814000000000005</v>
      </c>
      <c r="Z49" s="81">
        <v>-1.8822000000000001</v>
      </c>
      <c r="AA49" s="81">
        <v>-5.4332499999999992</v>
      </c>
      <c r="AB49" s="81">
        <v>-3.9396249999999995</v>
      </c>
      <c r="AC49" s="81">
        <v>-2.5796250000000001</v>
      </c>
      <c r="AD49" s="81">
        <v>-1.4898750000000001</v>
      </c>
    </row>
    <row r="50" spans="1:30">
      <c r="A50" s="38" t="s">
        <v>97</v>
      </c>
      <c r="B50" s="180">
        <v>0</v>
      </c>
      <c r="C50" s="77">
        <v>0</v>
      </c>
      <c r="D50" s="77">
        <v>0</v>
      </c>
      <c r="E50" s="77">
        <v>0</v>
      </c>
      <c r="F50" s="77">
        <v>0</v>
      </c>
      <c r="G50" s="77">
        <v>0</v>
      </c>
      <c r="H50" s="77">
        <v>0</v>
      </c>
      <c r="I50" s="77">
        <v>0</v>
      </c>
      <c r="J50" s="77">
        <v>0</v>
      </c>
      <c r="K50" s="77">
        <v>0</v>
      </c>
      <c r="L50" s="77">
        <v>0</v>
      </c>
      <c r="M50" s="77">
        <v>0</v>
      </c>
      <c r="N50" s="77">
        <v>0</v>
      </c>
      <c r="O50" s="77">
        <v>0</v>
      </c>
      <c r="P50" s="81"/>
      <c r="Q50" s="280">
        <v>0</v>
      </c>
      <c r="R50" s="81">
        <v>0</v>
      </c>
      <c r="S50" s="81">
        <v>0</v>
      </c>
      <c r="T50" s="81">
        <v>0</v>
      </c>
      <c r="U50" s="81">
        <v>0</v>
      </c>
      <c r="V50" s="81">
        <v>0</v>
      </c>
      <c r="W50" s="81">
        <v>0</v>
      </c>
      <c r="X50" s="81">
        <v>0</v>
      </c>
      <c r="Y50" s="81">
        <v>0</v>
      </c>
      <c r="Z50" s="81">
        <v>0</v>
      </c>
      <c r="AA50" s="81">
        <v>0</v>
      </c>
      <c r="AB50" s="81">
        <v>0</v>
      </c>
      <c r="AC50" s="81">
        <v>0</v>
      </c>
      <c r="AD50" s="81">
        <v>0</v>
      </c>
    </row>
    <row r="51" spans="1:30">
      <c r="A51" s="19" t="s">
        <v>98</v>
      </c>
      <c r="B51" s="282">
        <v>9.4870000000000001</v>
      </c>
      <c r="C51" s="233">
        <v>5.8010000000000002</v>
      </c>
      <c r="D51" s="233">
        <v>7.718625000000003</v>
      </c>
      <c r="E51" s="233">
        <v>9.6144999999999925</v>
      </c>
      <c r="F51" s="233">
        <v>6.3717500000000005</v>
      </c>
      <c r="G51" s="233">
        <v>5.8511250000000015</v>
      </c>
      <c r="H51" s="233">
        <v>11.339499999999997</v>
      </c>
      <c r="I51" s="233">
        <v>9.4724000000000004</v>
      </c>
      <c r="J51" s="233">
        <v>7.9288000000000025</v>
      </c>
      <c r="K51" s="233">
        <v>10.665800000000001</v>
      </c>
      <c r="L51" s="233">
        <v>10.455374999999997</v>
      </c>
      <c r="M51" s="233">
        <v>9.519999999999996</v>
      </c>
      <c r="N51" s="233">
        <v>7.6282499999999995</v>
      </c>
      <c r="O51" s="233">
        <v>10.429125000000001</v>
      </c>
      <c r="P51" s="83"/>
      <c r="Q51" s="281">
        <v>15.288</v>
      </c>
      <c r="R51" s="83">
        <v>5.8010000000000002</v>
      </c>
      <c r="S51" s="83">
        <v>29.555999999999997</v>
      </c>
      <c r="T51" s="83">
        <v>21.837374999999994</v>
      </c>
      <c r="U51" s="83">
        <v>12.222875000000002</v>
      </c>
      <c r="V51" s="83">
        <v>5.8511250000000015</v>
      </c>
      <c r="W51" s="83">
        <v>39.406500000000001</v>
      </c>
      <c r="X51" s="83">
        <v>28.067000000000004</v>
      </c>
      <c r="Y51" s="83">
        <v>18.594600000000003</v>
      </c>
      <c r="Z51" s="83">
        <v>10.665800000000001</v>
      </c>
      <c r="AA51" s="83">
        <v>38.032749999999993</v>
      </c>
      <c r="AB51" s="83">
        <v>27.577374999999996</v>
      </c>
      <c r="AC51" s="83">
        <v>18.057375</v>
      </c>
      <c r="AD51" s="83">
        <v>10.429125000000001</v>
      </c>
    </row>
    <row r="52" spans="1:30">
      <c r="A52" s="25"/>
      <c r="B52" s="25"/>
      <c r="C52" s="25"/>
      <c r="D52" s="25"/>
      <c r="E52" s="25"/>
      <c r="F52" s="25"/>
      <c r="G52" s="25"/>
      <c r="H52" s="25"/>
      <c r="I52" s="25"/>
      <c r="J52" s="25"/>
      <c r="K52" s="25"/>
      <c r="L52" s="25"/>
      <c r="M52" s="25"/>
      <c r="N52" s="25"/>
      <c r="O52" s="25"/>
      <c r="P52" s="82"/>
      <c r="Q52" s="82"/>
      <c r="R52" s="82"/>
      <c r="S52" s="82"/>
      <c r="T52" s="82"/>
      <c r="U52" s="82"/>
      <c r="V52" s="82"/>
      <c r="W52" s="82"/>
      <c r="X52" s="82"/>
      <c r="Y52" s="82"/>
      <c r="Z52" s="82"/>
      <c r="AA52" s="82"/>
      <c r="AB52" s="82"/>
      <c r="AC52" s="82"/>
      <c r="AD52" s="82"/>
    </row>
    <row r="53" spans="1:30">
      <c r="A53" s="19" t="s">
        <v>33</v>
      </c>
      <c r="B53" s="75" t="s">
        <v>552</v>
      </c>
      <c r="C53" s="75" t="s">
        <v>500</v>
      </c>
      <c r="D53" s="75" t="s">
        <v>444</v>
      </c>
      <c r="E53" s="75" t="s">
        <v>441</v>
      </c>
      <c r="F53" s="75" t="s">
        <v>424</v>
      </c>
      <c r="G53" s="75" t="s">
        <v>370</v>
      </c>
      <c r="H53" s="75" t="s">
        <v>364</v>
      </c>
      <c r="I53" s="75" t="s">
        <v>335</v>
      </c>
      <c r="J53" s="75" t="s">
        <v>327</v>
      </c>
      <c r="K53" s="75" t="s">
        <v>320</v>
      </c>
      <c r="L53" s="75" t="s">
        <v>313</v>
      </c>
      <c r="M53" s="75" t="s">
        <v>285</v>
      </c>
      <c r="N53" s="75" t="s">
        <v>278</v>
      </c>
      <c r="O53" s="75" t="s">
        <v>273</v>
      </c>
      <c r="P53" s="75"/>
      <c r="Q53" s="75" t="s">
        <v>553</v>
      </c>
      <c r="R53" s="75" t="s">
        <v>501</v>
      </c>
      <c r="S53" s="75" t="s">
        <v>445</v>
      </c>
      <c r="T53" s="75" t="s">
        <v>442</v>
      </c>
      <c r="U53" s="75" t="s">
        <v>425</v>
      </c>
      <c r="V53" s="75" t="s">
        <v>371</v>
      </c>
      <c r="W53" s="75" t="s">
        <v>365</v>
      </c>
      <c r="X53" s="75" t="s">
        <v>336</v>
      </c>
      <c r="Y53" s="75" t="s">
        <v>328</v>
      </c>
      <c r="Z53" s="75" t="s">
        <v>321</v>
      </c>
      <c r="AA53" s="75" t="s">
        <v>314</v>
      </c>
      <c r="AB53" s="75" t="s">
        <v>286</v>
      </c>
      <c r="AC53" s="75" t="s">
        <v>279</v>
      </c>
      <c r="AD53" s="75" t="s">
        <v>274</v>
      </c>
    </row>
    <row r="54" spans="1:30">
      <c r="A54" s="21" t="s">
        <v>508</v>
      </c>
      <c r="B54" s="21"/>
      <c r="C54" s="21"/>
      <c r="D54" s="21"/>
      <c r="E54" s="21"/>
      <c r="F54" s="21"/>
      <c r="G54" s="21"/>
      <c r="H54" s="21"/>
      <c r="I54" s="21"/>
      <c r="J54" s="21"/>
      <c r="K54" s="21"/>
      <c r="L54" s="21"/>
      <c r="M54" s="21"/>
      <c r="N54" s="21"/>
      <c r="O54" s="21"/>
      <c r="P54" s="85"/>
      <c r="Q54" s="85"/>
      <c r="R54" s="85"/>
      <c r="S54" s="85"/>
      <c r="T54" s="85"/>
      <c r="U54" s="85"/>
      <c r="V54" s="85"/>
      <c r="W54" s="85"/>
      <c r="X54" s="85"/>
      <c r="Y54" s="85"/>
      <c r="Z54" s="85"/>
      <c r="AA54" s="85"/>
      <c r="AB54" s="85"/>
      <c r="AC54" s="85"/>
      <c r="AD54" s="85"/>
    </row>
    <row r="55" spans="1:30">
      <c r="A55" s="38" t="s">
        <v>34</v>
      </c>
      <c r="B55" s="180">
        <v>31.577999999999999</v>
      </c>
      <c r="C55" s="77">
        <v>30.916</v>
      </c>
      <c r="D55" s="77">
        <v>31.455999999999989</v>
      </c>
      <c r="E55" s="77">
        <v>31.489000000000004</v>
      </c>
      <c r="F55" s="77">
        <v>33.398999999999994</v>
      </c>
      <c r="G55" s="77">
        <v>34.689</v>
      </c>
      <c r="H55" s="77">
        <v>37.343999999999994</v>
      </c>
      <c r="I55" s="77">
        <v>41.03</v>
      </c>
      <c r="J55" s="77">
        <v>40.734000000000002</v>
      </c>
      <c r="K55" s="77">
        <v>38.802</v>
      </c>
      <c r="L55" s="77">
        <v>43.195999999999984</v>
      </c>
      <c r="M55" s="77">
        <v>45.031999999999996</v>
      </c>
      <c r="N55" s="77">
        <v>36.865000000000009</v>
      </c>
      <c r="O55" s="77">
        <v>40.546999999999997</v>
      </c>
      <c r="P55" s="81"/>
      <c r="Q55" s="280">
        <v>62.494</v>
      </c>
      <c r="R55" s="81">
        <v>30.916</v>
      </c>
      <c r="S55" s="81">
        <v>131.03299999999999</v>
      </c>
      <c r="T55" s="81">
        <v>99.576999999999998</v>
      </c>
      <c r="U55" s="81">
        <v>68.087999999999994</v>
      </c>
      <c r="V55" s="81">
        <v>34.689</v>
      </c>
      <c r="W55" s="81">
        <v>157.91</v>
      </c>
      <c r="X55" s="81">
        <v>120.566</v>
      </c>
      <c r="Y55" s="81">
        <v>79.536000000000001</v>
      </c>
      <c r="Z55" s="81">
        <v>38.802</v>
      </c>
      <c r="AA55" s="81">
        <v>165.64</v>
      </c>
      <c r="AB55" s="81">
        <v>122.444</v>
      </c>
      <c r="AC55" s="81">
        <v>77.412000000000006</v>
      </c>
      <c r="AD55" s="81">
        <v>40.546999999999997</v>
      </c>
    </row>
    <row r="56" spans="1:30">
      <c r="A56" s="38" t="s">
        <v>91</v>
      </c>
      <c r="B56" s="180">
        <v>4.5240000000000009</v>
      </c>
      <c r="C56" s="77">
        <v>4.5259999999999998</v>
      </c>
      <c r="D56" s="77">
        <v>4.8660000000000014</v>
      </c>
      <c r="E56" s="77">
        <v>4.5510000000000002</v>
      </c>
      <c r="F56" s="77">
        <v>4.6920000000000002</v>
      </c>
      <c r="G56" s="77">
        <v>5.6539999999999999</v>
      </c>
      <c r="H56" s="77">
        <v>5.17</v>
      </c>
      <c r="I56" s="77">
        <v>4.7850000000000001</v>
      </c>
      <c r="J56" s="77">
        <v>5.3389999999999995</v>
      </c>
      <c r="K56" s="77">
        <v>4.9089999999999998</v>
      </c>
      <c r="L56" s="77">
        <v>4.7329999999999988</v>
      </c>
      <c r="M56" s="77">
        <v>4.722999999999999</v>
      </c>
      <c r="N56" s="77">
        <v>4.8670000000000009</v>
      </c>
      <c r="O56" s="77">
        <v>5.4749999999999996</v>
      </c>
      <c r="P56" s="81"/>
      <c r="Q56" s="280">
        <v>9.0500000000000007</v>
      </c>
      <c r="R56" s="81">
        <v>4.5259999999999998</v>
      </c>
      <c r="S56" s="81">
        <v>19.763000000000002</v>
      </c>
      <c r="T56" s="81">
        <v>14.897</v>
      </c>
      <c r="U56" s="81">
        <v>10.346</v>
      </c>
      <c r="V56" s="81">
        <v>5.6539999999999999</v>
      </c>
      <c r="W56" s="81">
        <v>20.202999999999999</v>
      </c>
      <c r="X56" s="81">
        <v>15.032999999999999</v>
      </c>
      <c r="Y56" s="81">
        <v>10.247999999999999</v>
      </c>
      <c r="Z56" s="81">
        <v>4.9089999999999998</v>
      </c>
      <c r="AA56" s="81">
        <v>19.797999999999998</v>
      </c>
      <c r="AB56" s="81">
        <v>15.065</v>
      </c>
      <c r="AC56" s="81">
        <v>10.342000000000001</v>
      </c>
      <c r="AD56" s="81">
        <v>5.4749999999999996</v>
      </c>
    </row>
    <row r="57" spans="1:30">
      <c r="A57" s="38" t="s">
        <v>36</v>
      </c>
      <c r="B57" s="180">
        <v>0.48299999999999998</v>
      </c>
      <c r="C57" s="77">
        <v>0.372</v>
      </c>
      <c r="D57" s="77">
        <v>0.37800000000000011</v>
      </c>
      <c r="E57" s="77">
        <v>0.377</v>
      </c>
      <c r="F57" s="77">
        <v>0.44699999999999995</v>
      </c>
      <c r="G57" s="77">
        <v>0.372</v>
      </c>
      <c r="H57" s="77">
        <v>0.36499999999999999</v>
      </c>
      <c r="I57" s="77">
        <v>0.85399999999999998</v>
      </c>
      <c r="J57" s="77">
        <v>-0.159</v>
      </c>
      <c r="K57" s="77">
        <v>0.30499999999999999</v>
      </c>
      <c r="L57" s="77">
        <v>1.4409999999999998</v>
      </c>
      <c r="M57" s="77">
        <v>0.10799999999999998</v>
      </c>
      <c r="N57" s="77">
        <v>0.24199999999999999</v>
      </c>
      <c r="O57" s="77">
        <v>0.24299999999999999</v>
      </c>
      <c r="P57" s="81"/>
      <c r="Q57" s="280">
        <v>0.85499999999999998</v>
      </c>
      <c r="R57" s="81">
        <v>0.372</v>
      </c>
      <c r="S57" s="81">
        <v>1.5740000000000001</v>
      </c>
      <c r="T57" s="81">
        <v>1.196</v>
      </c>
      <c r="U57" s="81">
        <v>0.81899999999999995</v>
      </c>
      <c r="V57" s="81">
        <v>0.372</v>
      </c>
      <c r="W57" s="81">
        <v>1.365</v>
      </c>
      <c r="X57" s="81">
        <v>1</v>
      </c>
      <c r="Y57" s="81">
        <v>0.14599999999999999</v>
      </c>
      <c r="Z57" s="81">
        <v>0.30499999999999999</v>
      </c>
      <c r="AA57" s="81">
        <v>2.0339999999999998</v>
      </c>
      <c r="AB57" s="81">
        <v>0.59299999999999997</v>
      </c>
      <c r="AC57" s="81">
        <v>0.48499999999999999</v>
      </c>
      <c r="AD57" s="81">
        <v>0.24299999999999999</v>
      </c>
    </row>
    <row r="58" spans="1:30">
      <c r="A58" s="19" t="s">
        <v>37</v>
      </c>
      <c r="B58" s="282">
        <v>36.585000000000001</v>
      </c>
      <c r="C58" s="233">
        <v>35.814</v>
      </c>
      <c r="D58" s="233">
        <v>36.700000000000003</v>
      </c>
      <c r="E58" s="233">
        <v>36.417000000000002</v>
      </c>
      <c r="F58" s="233">
        <v>38.537999999999997</v>
      </c>
      <c r="G58" s="233">
        <v>40.715000000000003</v>
      </c>
      <c r="H58" s="233">
        <v>42.879000000000019</v>
      </c>
      <c r="I58" s="233">
        <v>46.668999999999983</v>
      </c>
      <c r="J58" s="233">
        <v>45.914000000000009</v>
      </c>
      <c r="K58" s="233">
        <v>44.015999999999998</v>
      </c>
      <c r="L58" s="233">
        <v>49.369999999999976</v>
      </c>
      <c r="M58" s="233">
        <v>49.863</v>
      </c>
      <c r="N58" s="233">
        <v>41.974000000000004</v>
      </c>
      <c r="O58" s="233">
        <v>46.265000000000001</v>
      </c>
      <c r="P58" s="83"/>
      <c r="Q58" s="281">
        <v>72.399000000000001</v>
      </c>
      <c r="R58" s="83">
        <v>35.814</v>
      </c>
      <c r="S58" s="83">
        <v>152.37</v>
      </c>
      <c r="T58" s="83">
        <v>115.67</v>
      </c>
      <c r="U58" s="83">
        <v>79.253</v>
      </c>
      <c r="V58" s="83">
        <v>40.715000000000003</v>
      </c>
      <c r="W58" s="83">
        <v>179.47800000000001</v>
      </c>
      <c r="X58" s="83">
        <v>136.59899999999999</v>
      </c>
      <c r="Y58" s="83">
        <v>89.93</v>
      </c>
      <c r="Z58" s="83">
        <v>44.015999999999998</v>
      </c>
      <c r="AA58" s="83">
        <v>187.47199999999998</v>
      </c>
      <c r="AB58" s="83">
        <v>138.102</v>
      </c>
      <c r="AC58" s="83">
        <v>88.239000000000004</v>
      </c>
      <c r="AD58" s="83">
        <v>46.265000000000001</v>
      </c>
    </row>
    <row r="59" spans="1:30">
      <c r="A59" s="19" t="s">
        <v>40</v>
      </c>
      <c r="B59" s="282">
        <v>-11.034999999999998</v>
      </c>
      <c r="C59" s="233">
        <v>-11.566000000000001</v>
      </c>
      <c r="D59" s="233">
        <v>-12.615000000000002</v>
      </c>
      <c r="E59" s="233">
        <v>-10.981000000000002</v>
      </c>
      <c r="F59" s="233">
        <v>-10.475</v>
      </c>
      <c r="G59" s="233">
        <v>-10.500999999999999</v>
      </c>
      <c r="H59" s="233">
        <v>-11.350999999999999</v>
      </c>
      <c r="I59" s="233">
        <v>-11.662999999999997</v>
      </c>
      <c r="J59" s="233">
        <v>-10.722000000000001</v>
      </c>
      <c r="K59" s="233">
        <v>-11.073</v>
      </c>
      <c r="L59" s="233">
        <v>-12.535999999999994</v>
      </c>
      <c r="M59" s="233">
        <v>-11.344000000000005</v>
      </c>
      <c r="N59" s="233">
        <v>-12.03</v>
      </c>
      <c r="O59" s="233">
        <v>-11.843999999999999</v>
      </c>
      <c r="P59" s="83"/>
      <c r="Q59" s="281">
        <v>-22.600999999999999</v>
      </c>
      <c r="R59" s="83">
        <v>-11.566000000000001</v>
      </c>
      <c r="S59" s="83">
        <v>-44.572000000000003</v>
      </c>
      <c r="T59" s="83">
        <v>-31.957000000000001</v>
      </c>
      <c r="U59" s="83">
        <v>-20.975999999999999</v>
      </c>
      <c r="V59" s="83">
        <v>-10.500999999999999</v>
      </c>
      <c r="W59" s="83">
        <v>-44.808999999999997</v>
      </c>
      <c r="X59" s="83">
        <v>-33.457999999999998</v>
      </c>
      <c r="Y59" s="83">
        <v>-21.795000000000002</v>
      </c>
      <c r="Z59" s="83">
        <v>-11.073</v>
      </c>
      <c r="AA59" s="83">
        <v>-47.753999999999998</v>
      </c>
      <c r="AB59" s="83">
        <v>-35.218000000000004</v>
      </c>
      <c r="AC59" s="83">
        <v>-23.873999999999999</v>
      </c>
      <c r="AD59" s="83">
        <v>-11.843999999999999</v>
      </c>
    </row>
    <row r="60" spans="1:30">
      <c r="A60" s="19" t="s">
        <v>92</v>
      </c>
      <c r="B60" s="282">
        <v>25.550000000000004</v>
      </c>
      <c r="C60" s="233">
        <v>24.247999999999998</v>
      </c>
      <c r="D60" s="233">
        <v>24.085000000000008</v>
      </c>
      <c r="E60" s="233">
        <v>25.435999999999993</v>
      </c>
      <c r="F60" s="233">
        <v>28.062999999999995</v>
      </c>
      <c r="G60" s="233">
        <v>30.214000000000006</v>
      </c>
      <c r="H60" s="233">
        <v>31.52800000000002</v>
      </c>
      <c r="I60" s="233">
        <v>35.005999999999986</v>
      </c>
      <c r="J60" s="233">
        <v>35.192000000000007</v>
      </c>
      <c r="K60" s="233">
        <v>32.942999999999998</v>
      </c>
      <c r="L60" s="233">
        <v>36.833999999999989</v>
      </c>
      <c r="M60" s="233">
        <v>38.518999999999991</v>
      </c>
      <c r="N60" s="233">
        <v>29.94400000000001</v>
      </c>
      <c r="O60" s="233">
        <v>34.420999999999999</v>
      </c>
      <c r="P60" s="83"/>
      <c r="Q60" s="281">
        <v>49.798000000000002</v>
      </c>
      <c r="R60" s="83">
        <v>24.247999999999998</v>
      </c>
      <c r="S60" s="83">
        <v>107.798</v>
      </c>
      <c r="T60" s="83">
        <v>83.712999999999994</v>
      </c>
      <c r="U60" s="83">
        <v>58.277000000000001</v>
      </c>
      <c r="V60" s="83">
        <v>30.214000000000006</v>
      </c>
      <c r="W60" s="83">
        <v>134.66900000000001</v>
      </c>
      <c r="X60" s="83">
        <v>103.14099999999999</v>
      </c>
      <c r="Y60" s="83">
        <v>68.135000000000005</v>
      </c>
      <c r="Z60" s="83">
        <v>32.942999999999998</v>
      </c>
      <c r="AA60" s="83">
        <v>139.71799999999999</v>
      </c>
      <c r="AB60" s="83">
        <v>102.884</v>
      </c>
      <c r="AC60" s="83">
        <v>64.365000000000009</v>
      </c>
      <c r="AD60" s="83">
        <v>34.420999999999999</v>
      </c>
    </row>
    <row r="61" spans="1:30" ht="27.75" customHeight="1">
      <c r="A61" s="79" t="s">
        <v>507</v>
      </c>
      <c r="B61" s="180">
        <v>0.97199999999999953</v>
      </c>
      <c r="C61" s="77">
        <v>11.112</v>
      </c>
      <c r="D61" s="77">
        <v>-0.34699999999999953</v>
      </c>
      <c r="E61" s="77">
        <v>-10.985000000000001</v>
      </c>
      <c r="F61" s="77">
        <v>-2.1160000000000001</v>
      </c>
      <c r="G61" s="77">
        <v>0.39100000000000001</v>
      </c>
      <c r="H61" s="77">
        <v>7.5999999999999623E-2</v>
      </c>
      <c r="I61" s="77">
        <v>-5.8900000000000006</v>
      </c>
      <c r="J61" s="77">
        <v>3.9800000000000004</v>
      </c>
      <c r="K61" s="77">
        <v>5.1020000000000003</v>
      </c>
      <c r="L61" s="77">
        <v>-13.794999999999998</v>
      </c>
      <c r="M61" s="77">
        <v>-15.992000000000001</v>
      </c>
      <c r="N61" s="77">
        <v>-7.76</v>
      </c>
      <c r="O61" s="77">
        <v>7.7949999999999999</v>
      </c>
      <c r="P61" s="81"/>
      <c r="Q61" s="280">
        <v>12.084</v>
      </c>
      <c r="R61" s="81">
        <v>11.112</v>
      </c>
      <c r="S61" s="81">
        <v>-13.057</v>
      </c>
      <c r="T61" s="81">
        <v>-12.71</v>
      </c>
      <c r="U61" s="81">
        <v>-1.7250000000000001</v>
      </c>
      <c r="V61" s="81">
        <v>0.39100000000000001</v>
      </c>
      <c r="W61" s="81">
        <v>3.2679999999999998</v>
      </c>
      <c r="X61" s="81">
        <v>3.1920000000000002</v>
      </c>
      <c r="Y61" s="81">
        <v>9.0820000000000007</v>
      </c>
      <c r="Z61" s="81">
        <v>5.1020000000000003</v>
      </c>
      <c r="AA61" s="81">
        <v>-29.751999999999999</v>
      </c>
      <c r="AB61" s="81">
        <v>-15.957000000000001</v>
      </c>
      <c r="AC61" s="81">
        <v>3.5000000000000003E-2</v>
      </c>
      <c r="AD61" s="81">
        <v>7.7949999999999999</v>
      </c>
    </row>
    <row r="62" spans="1:30">
      <c r="A62" s="38" t="s">
        <v>93</v>
      </c>
      <c r="B62" s="180">
        <v>0</v>
      </c>
      <c r="C62" s="77">
        <v>0</v>
      </c>
      <c r="D62" s="77">
        <v>0.42799999999999994</v>
      </c>
      <c r="E62" s="77">
        <v>-0.69399999999999995</v>
      </c>
      <c r="F62" s="77">
        <v>0</v>
      </c>
      <c r="G62" s="77">
        <v>0</v>
      </c>
      <c r="H62" s="77">
        <v>0</v>
      </c>
      <c r="I62" s="77">
        <v>0</v>
      </c>
      <c r="J62" s="77">
        <v>0</v>
      </c>
      <c r="K62" s="77">
        <v>0</v>
      </c>
      <c r="L62" s="77">
        <v>0</v>
      </c>
      <c r="M62" s="77">
        <v>0</v>
      </c>
      <c r="N62" s="77">
        <v>0</v>
      </c>
      <c r="O62" s="77">
        <v>0</v>
      </c>
      <c r="P62" s="81"/>
      <c r="Q62" s="280">
        <v>0</v>
      </c>
      <c r="R62" s="81">
        <v>0</v>
      </c>
      <c r="S62" s="81">
        <v>-0.26600000000000001</v>
      </c>
      <c r="T62" s="81">
        <v>-0.69399999999999995</v>
      </c>
      <c r="U62" s="81">
        <v>0</v>
      </c>
      <c r="V62" s="81">
        <v>0</v>
      </c>
      <c r="W62" s="81">
        <v>0</v>
      </c>
      <c r="X62" s="81">
        <v>0</v>
      </c>
      <c r="Y62" s="81">
        <v>0</v>
      </c>
      <c r="Z62" s="81">
        <v>0</v>
      </c>
      <c r="AA62" s="81">
        <v>0</v>
      </c>
      <c r="AB62" s="81">
        <v>0</v>
      </c>
      <c r="AC62" s="81">
        <v>0</v>
      </c>
      <c r="AD62" s="81">
        <v>0</v>
      </c>
    </row>
    <row r="63" spans="1:30">
      <c r="A63" s="38" t="s">
        <v>94</v>
      </c>
      <c r="B63" s="180">
        <v>0</v>
      </c>
      <c r="C63" s="77">
        <v>0</v>
      </c>
      <c r="D63" s="77">
        <v>0</v>
      </c>
      <c r="E63" s="77">
        <v>0</v>
      </c>
      <c r="F63" s="77">
        <v>0</v>
      </c>
      <c r="G63" s="77">
        <v>0</v>
      </c>
      <c r="H63" s="77">
        <v>0</v>
      </c>
      <c r="I63" s="77">
        <v>0</v>
      </c>
      <c r="J63" s="77">
        <v>0</v>
      </c>
      <c r="K63" s="77">
        <v>0</v>
      </c>
      <c r="L63" s="77">
        <v>0</v>
      </c>
      <c r="M63" s="77">
        <v>0</v>
      </c>
      <c r="N63" s="77">
        <v>0</v>
      </c>
      <c r="O63" s="77">
        <v>0</v>
      </c>
      <c r="P63" s="81"/>
      <c r="Q63" s="280">
        <v>0</v>
      </c>
      <c r="R63" s="81">
        <v>0</v>
      </c>
      <c r="S63" s="81">
        <v>0</v>
      </c>
      <c r="T63" s="81">
        <v>0</v>
      </c>
      <c r="U63" s="81">
        <v>0</v>
      </c>
      <c r="V63" s="81">
        <v>0</v>
      </c>
      <c r="W63" s="81">
        <v>0</v>
      </c>
      <c r="X63" s="81">
        <v>0</v>
      </c>
      <c r="Y63" s="81">
        <v>0</v>
      </c>
      <c r="Z63" s="81">
        <v>0</v>
      </c>
      <c r="AA63" s="81">
        <v>0</v>
      </c>
      <c r="AB63" s="81">
        <v>0</v>
      </c>
      <c r="AC63" s="81">
        <v>0</v>
      </c>
      <c r="AD63" s="81">
        <v>0</v>
      </c>
    </row>
    <row r="64" spans="1:30">
      <c r="A64" s="38" t="s">
        <v>95</v>
      </c>
      <c r="B64" s="180">
        <v>0</v>
      </c>
      <c r="C64" s="77">
        <v>0</v>
      </c>
      <c r="D64" s="77">
        <v>0</v>
      </c>
      <c r="E64" s="77">
        <v>0</v>
      </c>
      <c r="F64" s="77">
        <v>0</v>
      </c>
      <c r="G64" s="77">
        <v>0</v>
      </c>
      <c r="H64" s="77">
        <v>0</v>
      </c>
      <c r="I64" s="77">
        <v>0</v>
      </c>
      <c r="J64" s="77">
        <v>0</v>
      </c>
      <c r="K64" s="77">
        <v>0</v>
      </c>
      <c r="L64" s="77">
        <v>0</v>
      </c>
      <c r="M64" s="77">
        <v>0</v>
      </c>
      <c r="N64" s="77">
        <v>0</v>
      </c>
      <c r="O64" s="77">
        <v>0</v>
      </c>
      <c r="P64" s="81"/>
      <c r="Q64" s="280">
        <v>0</v>
      </c>
      <c r="R64" s="81">
        <v>0</v>
      </c>
      <c r="S64" s="81">
        <v>0</v>
      </c>
      <c r="T64" s="81">
        <v>0</v>
      </c>
      <c r="U64" s="81">
        <v>0</v>
      </c>
      <c r="V64" s="81">
        <v>0</v>
      </c>
      <c r="W64" s="81">
        <v>0</v>
      </c>
      <c r="X64" s="81">
        <v>0</v>
      </c>
      <c r="Y64" s="81">
        <v>0</v>
      </c>
      <c r="Z64" s="81">
        <v>0</v>
      </c>
      <c r="AA64" s="81">
        <v>0</v>
      </c>
      <c r="AB64" s="81">
        <v>0</v>
      </c>
      <c r="AC64" s="81">
        <v>0</v>
      </c>
      <c r="AD64" s="81">
        <v>0</v>
      </c>
    </row>
    <row r="65" spans="1:30">
      <c r="A65" s="19" t="s">
        <v>96</v>
      </c>
      <c r="B65" s="282">
        <v>26.522000000000006</v>
      </c>
      <c r="C65" s="233">
        <v>35.36</v>
      </c>
      <c r="D65" s="233">
        <v>24.166000000000011</v>
      </c>
      <c r="E65" s="233">
        <v>13.756999999999984</v>
      </c>
      <c r="F65" s="233">
        <v>25.946999999999996</v>
      </c>
      <c r="G65" s="233">
        <v>30.605000000000004</v>
      </c>
      <c r="H65" s="233">
        <v>31.604000000000013</v>
      </c>
      <c r="I65" s="233">
        <v>29.115999999999985</v>
      </c>
      <c r="J65" s="233">
        <v>39.172000000000011</v>
      </c>
      <c r="K65" s="233">
        <v>38.045000000000002</v>
      </c>
      <c r="L65" s="233">
        <v>23.039000000000001</v>
      </c>
      <c r="M65" s="233">
        <v>22.526999999999987</v>
      </c>
      <c r="N65" s="233">
        <v>22.184000000000005</v>
      </c>
      <c r="O65" s="233">
        <v>42.216000000000001</v>
      </c>
      <c r="P65" s="83"/>
      <c r="Q65" s="281">
        <v>61.882000000000005</v>
      </c>
      <c r="R65" s="83">
        <v>35.36</v>
      </c>
      <c r="S65" s="83">
        <v>94.474999999999994</v>
      </c>
      <c r="T65" s="83">
        <v>70.308999999999983</v>
      </c>
      <c r="U65" s="83">
        <v>56.552</v>
      </c>
      <c r="V65" s="83">
        <v>30.605000000000004</v>
      </c>
      <c r="W65" s="83">
        <v>137.93700000000001</v>
      </c>
      <c r="X65" s="83">
        <v>106.333</v>
      </c>
      <c r="Y65" s="83">
        <v>77.217000000000013</v>
      </c>
      <c r="Z65" s="83">
        <v>38.045000000000002</v>
      </c>
      <c r="AA65" s="83">
        <v>109.96599999999999</v>
      </c>
      <c r="AB65" s="83">
        <v>86.926999999999992</v>
      </c>
      <c r="AC65" s="83">
        <v>64.400000000000006</v>
      </c>
      <c r="AD65" s="83">
        <v>42.216000000000001</v>
      </c>
    </row>
    <row r="66" spans="1:30">
      <c r="A66" s="38" t="s">
        <v>45</v>
      </c>
      <c r="B66" s="180">
        <v>-3.9779999999999998</v>
      </c>
      <c r="C66" s="77">
        <v>-5.3040000000000003</v>
      </c>
      <c r="D66" s="77">
        <v>8.0386249999999979</v>
      </c>
      <c r="E66" s="77">
        <v>-1.719624999999998</v>
      </c>
      <c r="F66" s="77">
        <v>-3.2433749999999995</v>
      </c>
      <c r="G66" s="77">
        <v>-3.8256250000000005</v>
      </c>
      <c r="H66" s="77">
        <v>-1.2921750000000021</v>
      </c>
      <c r="I66" s="77">
        <v>-4.3673999999999982</v>
      </c>
      <c r="J66" s="77">
        <v>-5.8758000000000008</v>
      </c>
      <c r="K66" s="77">
        <v>-5.7067500000000004</v>
      </c>
      <c r="L66" s="77">
        <v>-2.8798750000000002</v>
      </c>
      <c r="M66" s="77">
        <v>-2.8158749999999984</v>
      </c>
      <c r="N66" s="77">
        <v>-2.7730000000000006</v>
      </c>
      <c r="O66" s="77">
        <v>-5.2770000000000001</v>
      </c>
      <c r="P66" s="81"/>
      <c r="Q66" s="280">
        <v>-9.282</v>
      </c>
      <c r="R66" s="81">
        <v>-5.3040000000000003</v>
      </c>
      <c r="S66" s="81">
        <v>-0.75</v>
      </c>
      <c r="T66" s="81">
        <v>-8.7886249999999979</v>
      </c>
      <c r="U66" s="81">
        <v>-7.069</v>
      </c>
      <c r="V66" s="81">
        <v>-3.8256250000000005</v>
      </c>
      <c r="W66" s="81">
        <v>-17.242125000000001</v>
      </c>
      <c r="X66" s="81">
        <v>-15.949949999999999</v>
      </c>
      <c r="Y66" s="81">
        <v>-11.582550000000001</v>
      </c>
      <c r="Z66" s="81">
        <v>-5.7067500000000004</v>
      </c>
      <c r="AA66" s="81">
        <v>-13.745749999999999</v>
      </c>
      <c r="AB66" s="81">
        <v>-10.865874999999999</v>
      </c>
      <c r="AC66" s="81">
        <v>-8.0500000000000007</v>
      </c>
      <c r="AD66" s="81">
        <v>-5.2770000000000001</v>
      </c>
    </row>
    <row r="67" spans="1:30">
      <c r="A67" s="38" t="s">
        <v>97</v>
      </c>
      <c r="B67" s="180">
        <v>0</v>
      </c>
      <c r="C67" s="77">
        <v>0</v>
      </c>
      <c r="D67" s="77">
        <v>0</v>
      </c>
      <c r="E67" s="77">
        <v>0</v>
      </c>
      <c r="F67" s="77">
        <v>0</v>
      </c>
      <c r="G67" s="77">
        <v>0</v>
      </c>
      <c r="H67" s="77">
        <v>0</v>
      </c>
      <c r="I67" s="77">
        <v>0</v>
      </c>
      <c r="J67" s="77">
        <v>0</v>
      </c>
      <c r="K67" s="77">
        <v>0</v>
      </c>
      <c r="L67" s="77">
        <v>0</v>
      </c>
      <c r="M67" s="77">
        <v>0</v>
      </c>
      <c r="N67" s="77">
        <v>0</v>
      </c>
      <c r="O67" s="77">
        <v>0</v>
      </c>
      <c r="P67" s="81"/>
      <c r="Q67" s="280">
        <v>0</v>
      </c>
      <c r="R67" s="81">
        <v>0</v>
      </c>
      <c r="S67" s="81">
        <v>0</v>
      </c>
      <c r="T67" s="81">
        <v>0</v>
      </c>
      <c r="U67" s="81">
        <v>0</v>
      </c>
      <c r="V67" s="81">
        <v>0</v>
      </c>
      <c r="W67" s="81">
        <v>0</v>
      </c>
      <c r="X67" s="81">
        <v>0</v>
      </c>
      <c r="Y67" s="81">
        <v>0</v>
      </c>
      <c r="Z67" s="81">
        <v>0</v>
      </c>
      <c r="AA67" s="81">
        <v>0</v>
      </c>
      <c r="AB67" s="81">
        <v>0</v>
      </c>
      <c r="AC67" s="81">
        <v>0</v>
      </c>
      <c r="AD67" s="81">
        <v>0</v>
      </c>
    </row>
    <row r="68" spans="1:30">
      <c r="A68" s="19" t="s">
        <v>98</v>
      </c>
      <c r="B68" s="282">
        <v>22.544000000000011</v>
      </c>
      <c r="C68" s="233">
        <v>30.055999999999997</v>
      </c>
      <c r="D68" s="233">
        <v>32.204625000000007</v>
      </c>
      <c r="E68" s="233">
        <v>12.03737499999999</v>
      </c>
      <c r="F68" s="233">
        <v>22.703624999999995</v>
      </c>
      <c r="G68" s="233">
        <v>26.779375000000002</v>
      </c>
      <c r="H68" s="233">
        <v>30.311825000000013</v>
      </c>
      <c r="I68" s="233">
        <v>24.748599999999982</v>
      </c>
      <c r="J68" s="233">
        <v>33.296200000000013</v>
      </c>
      <c r="K68" s="233">
        <v>32.338250000000002</v>
      </c>
      <c r="L68" s="233">
        <v>20.159125000000003</v>
      </c>
      <c r="M68" s="233">
        <v>19.711124999999981</v>
      </c>
      <c r="N68" s="233">
        <v>19.411000000000008</v>
      </c>
      <c r="O68" s="233">
        <v>36.939</v>
      </c>
      <c r="P68" s="83"/>
      <c r="Q68" s="281">
        <v>52.600000000000009</v>
      </c>
      <c r="R68" s="83">
        <v>30.055999999999997</v>
      </c>
      <c r="S68" s="83">
        <v>93.724999999999994</v>
      </c>
      <c r="T68" s="83">
        <v>61.520374999999987</v>
      </c>
      <c r="U68" s="83">
        <v>49.482999999999997</v>
      </c>
      <c r="V68" s="83">
        <v>26.779375000000002</v>
      </c>
      <c r="W68" s="83">
        <v>120.69487500000001</v>
      </c>
      <c r="X68" s="83">
        <v>90.383049999999997</v>
      </c>
      <c r="Y68" s="83">
        <v>65.634450000000015</v>
      </c>
      <c r="Z68" s="83">
        <v>32.338250000000002</v>
      </c>
      <c r="AA68" s="83">
        <v>96.220249999999993</v>
      </c>
      <c r="AB68" s="83">
        <v>76.06112499999999</v>
      </c>
      <c r="AC68" s="83">
        <v>56.350000000000009</v>
      </c>
      <c r="AD68" s="83">
        <v>36.939</v>
      </c>
    </row>
    <row r="69" spans="1:30">
      <c r="A69" s="25"/>
      <c r="B69" s="25"/>
      <c r="C69" s="25"/>
      <c r="D69" s="25"/>
      <c r="E69" s="25"/>
      <c r="F69" s="25"/>
      <c r="G69" s="25"/>
      <c r="H69" s="25"/>
      <c r="I69" s="25"/>
      <c r="J69" s="25"/>
      <c r="K69" s="25"/>
      <c r="L69" s="25"/>
      <c r="M69" s="25"/>
      <c r="N69" s="25"/>
      <c r="O69" s="25"/>
      <c r="P69" s="82"/>
      <c r="Q69" s="82"/>
      <c r="R69" s="82"/>
      <c r="S69" s="82"/>
      <c r="T69" s="82"/>
      <c r="U69" s="82"/>
      <c r="V69" s="82"/>
      <c r="W69" s="82"/>
      <c r="X69" s="82"/>
      <c r="Y69" s="82"/>
      <c r="Z69" s="82"/>
      <c r="AA69" s="82"/>
      <c r="AB69" s="82"/>
      <c r="AC69" s="82"/>
      <c r="AD69" s="82"/>
    </row>
    <row r="70" spans="1:30">
      <c r="A70" s="19" t="s">
        <v>33</v>
      </c>
      <c r="B70" s="75" t="s">
        <v>552</v>
      </c>
      <c r="C70" s="75" t="s">
        <v>500</v>
      </c>
      <c r="D70" s="75" t="s">
        <v>444</v>
      </c>
      <c r="E70" s="75" t="s">
        <v>441</v>
      </c>
      <c r="F70" s="75" t="s">
        <v>424</v>
      </c>
      <c r="G70" s="75" t="s">
        <v>370</v>
      </c>
      <c r="H70" s="75" t="s">
        <v>364</v>
      </c>
      <c r="I70" s="75" t="s">
        <v>335</v>
      </c>
      <c r="J70" s="75" t="s">
        <v>327</v>
      </c>
      <c r="K70" s="75" t="s">
        <v>320</v>
      </c>
      <c r="L70" s="75" t="s">
        <v>313</v>
      </c>
      <c r="M70" s="75" t="s">
        <v>285</v>
      </c>
      <c r="N70" s="75" t="s">
        <v>278</v>
      </c>
      <c r="O70" s="75" t="s">
        <v>273</v>
      </c>
      <c r="P70" s="75"/>
      <c r="Q70" s="75" t="s">
        <v>553</v>
      </c>
      <c r="R70" s="75" t="s">
        <v>501</v>
      </c>
      <c r="S70" s="75" t="s">
        <v>445</v>
      </c>
      <c r="T70" s="75" t="s">
        <v>442</v>
      </c>
      <c r="U70" s="75" t="s">
        <v>425</v>
      </c>
      <c r="V70" s="75" t="s">
        <v>371</v>
      </c>
      <c r="W70" s="75" t="s">
        <v>365</v>
      </c>
      <c r="X70" s="75" t="s">
        <v>336</v>
      </c>
      <c r="Y70" s="75" t="s">
        <v>328</v>
      </c>
      <c r="Z70" s="75" t="s">
        <v>321</v>
      </c>
      <c r="AA70" s="75" t="s">
        <v>314</v>
      </c>
      <c r="AB70" s="75" t="s">
        <v>286</v>
      </c>
      <c r="AC70" s="75" t="s">
        <v>279</v>
      </c>
      <c r="AD70" s="75" t="s">
        <v>274</v>
      </c>
    </row>
    <row r="71" spans="1:30">
      <c r="A71" s="21" t="s">
        <v>547</v>
      </c>
      <c r="B71" s="21"/>
      <c r="C71" s="21"/>
      <c r="D71" s="21"/>
      <c r="E71" s="21"/>
      <c r="F71" s="21"/>
      <c r="G71" s="21"/>
      <c r="H71" s="21"/>
      <c r="I71" s="21"/>
      <c r="J71" s="21"/>
      <c r="K71" s="21"/>
      <c r="L71" s="21"/>
      <c r="M71" s="21"/>
      <c r="N71" s="21"/>
      <c r="O71" s="21"/>
      <c r="P71" s="85"/>
      <c r="Q71" s="85"/>
      <c r="R71" s="85"/>
      <c r="S71" s="85"/>
      <c r="T71" s="85"/>
      <c r="U71" s="85"/>
      <c r="V71" s="85"/>
      <c r="W71" s="85"/>
      <c r="X71" s="85"/>
      <c r="Y71" s="85"/>
      <c r="Z71" s="85"/>
      <c r="AA71" s="85"/>
      <c r="AB71" s="85"/>
      <c r="AC71" s="85"/>
      <c r="AD71" s="85"/>
    </row>
    <row r="72" spans="1:30">
      <c r="A72" s="38" t="s">
        <v>34</v>
      </c>
      <c r="B72" s="180">
        <v>33.414999999999999</v>
      </c>
      <c r="C72" s="77">
        <v>30.295999999999999</v>
      </c>
      <c r="D72" s="77">
        <v>31.018999999999991</v>
      </c>
      <c r="E72" s="77">
        <v>30.27600000000001</v>
      </c>
      <c r="F72" s="77">
        <v>30.682999999999993</v>
      </c>
      <c r="G72" s="77">
        <v>33.712000000000003</v>
      </c>
      <c r="H72" s="77">
        <v>132.14999999999998</v>
      </c>
      <c r="I72" s="77">
        <v>9.3889999999999993</v>
      </c>
      <c r="J72" s="77">
        <v>9.0310000000000006</v>
      </c>
      <c r="K72" s="77">
        <v>8.6519999999999992</v>
      </c>
      <c r="L72" s="77">
        <v>9.2590000000000003</v>
      </c>
      <c r="M72" s="77">
        <v>9.3189999999999991</v>
      </c>
      <c r="N72" s="77">
        <v>6.5810000000000004</v>
      </c>
      <c r="O72" s="77">
        <v>7.5119999999999996</v>
      </c>
      <c r="P72" s="81"/>
      <c r="Q72" s="280">
        <v>63.710999999999999</v>
      </c>
      <c r="R72" s="81">
        <v>30.295999999999999</v>
      </c>
      <c r="S72" s="81">
        <v>125.69</v>
      </c>
      <c r="T72" s="81">
        <v>94.671000000000006</v>
      </c>
      <c r="U72" s="81">
        <v>64.394999999999996</v>
      </c>
      <c r="V72" s="81">
        <v>33.712000000000003</v>
      </c>
      <c r="W72" s="81">
        <v>159.22199999999998</v>
      </c>
      <c r="X72" s="81">
        <v>27.071999999999999</v>
      </c>
      <c r="Y72" s="81">
        <v>17.683</v>
      </c>
      <c r="Z72" s="81">
        <v>8.6519999999999992</v>
      </c>
      <c r="AA72" s="81">
        <v>32.670999999999999</v>
      </c>
      <c r="AB72" s="81">
        <v>23.411999999999999</v>
      </c>
      <c r="AC72" s="81">
        <v>14.093</v>
      </c>
      <c r="AD72" s="81">
        <v>7.5119999999999996</v>
      </c>
    </row>
    <row r="73" spans="1:30">
      <c r="A73" s="38" t="s">
        <v>91</v>
      </c>
      <c r="B73" s="180">
        <v>12.160999999999998</v>
      </c>
      <c r="C73" s="77">
        <v>12.329000000000001</v>
      </c>
      <c r="D73" s="77">
        <v>12.475999999999999</v>
      </c>
      <c r="E73" s="77">
        <v>11.852</v>
      </c>
      <c r="F73" s="77">
        <v>11.942</v>
      </c>
      <c r="G73" s="77">
        <v>11.995000000000001</v>
      </c>
      <c r="H73" s="77">
        <v>47.984999999999999</v>
      </c>
      <c r="I73" s="77">
        <v>0.27400000000000002</v>
      </c>
      <c r="J73" s="77">
        <v>0.248</v>
      </c>
      <c r="K73" s="77">
        <v>0.23599999999999999</v>
      </c>
      <c r="L73" s="77">
        <v>0.26400000000000001</v>
      </c>
      <c r="M73" s="77">
        <v>0.41200000000000003</v>
      </c>
      <c r="N73" s="77">
        <v>0.32599999999999996</v>
      </c>
      <c r="O73" s="77">
        <v>0.26</v>
      </c>
      <c r="P73" s="81"/>
      <c r="Q73" s="280">
        <v>24.49</v>
      </c>
      <c r="R73" s="81">
        <v>12.329000000000001</v>
      </c>
      <c r="S73" s="81">
        <v>48.265000000000001</v>
      </c>
      <c r="T73" s="81">
        <v>35.789000000000001</v>
      </c>
      <c r="U73" s="81">
        <v>23.937000000000001</v>
      </c>
      <c r="V73" s="81">
        <v>11.995000000000001</v>
      </c>
      <c r="W73" s="81">
        <v>48.743000000000002</v>
      </c>
      <c r="X73" s="81">
        <v>0.75800000000000001</v>
      </c>
      <c r="Y73" s="81">
        <v>0.48399999999999999</v>
      </c>
      <c r="Z73" s="81">
        <v>0.23599999999999999</v>
      </c>
      <c r="AA73" s="81">
        <v>1.262</v>
      </c>
      <c r="AB73" s="81">
        <v>0.998</v>
      </c>
      <c r="AC73" s="81">
        <v>0.58599999999999997</v>
      </c>
      <c r="AD73" s="81">
        <v>0.26</v>
      </c>
    </row>
    <row r="74" spans="1:30">
      <c r="A74" s="38" t="s">
        <v>36</v>
      </c>
      <c r="B74" s="180">
        <v>2.1809999999999992</v>
      </c>
      <c r="C74" s="77">
        <v>1.9419999999999999</v>
      </c>
      <c r="D74" s="77">
        <v>1.8319999999999999</v>
      </c>
      <c r="E74" s="77">
        <v>1.8340000000000005</v>
      </c>
      <c r="F74" s="77">
        <v>2.0369999999999999</v>
      </c>
      <c r="G74" s="77">
        <v>2.1639999999999997</v>
      </c>
      <c r="H74" s="77">
        <v>6.8</v>
      </c>
      <c r="I74" s="77">
        <v>1.2E-2</v>
      </c>
      <c r="J74" s="77">
        <v>9.9999999999999915E-4</v>
      </c>
      <c r="K74" s="77">
        <v>0.01</v>
      </c>
      <c r="L74" s="77">
        <v>-0.15799999999999997</v>
      </c>
      <c r="M74" s="77">
        <v>0.02</v>
      </c>
      <c r="N74" s="77">
        <v>-1.0999999999999999E-2</v>
      </c>
      <c r="O74" s="77">
        <v>6.0000000000000001E-3</v>
      </c>
      <c r="P74" s="81"/>
      <c r="Q74" s="280">
        <v>4.1229999999999993</v>
      </c>
      <c r="R74" s="81">
        <v>1.9419999999999999</v>
      </c>
      <c r="S74" s="81">
        <v>7.867</v>
      </c>
      <c r="T74" s="81">
        <v>6.0350000000000001</v>
      </c>
      <c r="U74" s="81">
        <v>4.2009999999999996</v>
      </c>
      <c r="V74" s="81">
        <v>2.1639999999999997</v>
      </c>
      <c r="W74" s="81">
        <v>6.8229999999999995</v>
      </c>
      <c r="X74" s="81">
        <v>2.3E-2</v>
      </c>
      <c r="Y74" s="81">
        <v>1.0999999999999999E-2</v>
      </c>
      <c r="Z74" s="81">
        <v>0.01</v>
      </c>
      <c r="AA74" s="81">
        <v>-0.14299999999999999</v>
      </c>
      <c r="AB74" s="81">
        <v>1.4999999999999999E-2</v>
      </c>
      <c r="AC74" s="81">
        <v>-5.0000000000000001E-3</v>
      </c>
      <c r="AD74" s="81">
        <v>6.0000000000000001E-3</v>
      </c>
    </row>
    <row r="75" spans="1:30">
      <c r="A75" s="19" t="s">
        <v>37</v>
      </c>
      <c r="B75" s="282">
        <v>47.756999999999998</v>
      </c>
      <c r="C75" s="233">
        <v>44.567</v>
      </c>
      <c r="D75" s="233">
        <v>45.32699999999997</v>
      </c>
      <c r="E75" s="233">
        <v>43.962000000000018</v>
      </c>
      <c r="F75" s="233">
        <v>44.661999999999978</v>
      </c>
      <c r="G75" s="233">
        <v>47.871000000000009</v>
      </c>
      <c r="H75" s="233">
        <v>186.93499999999997</v>
      </c>
      <c r="I75" s="233">
        <v>9.6749999999999972</v>
      </c>
      <c r="J75" s="233">
        <v>9.2800000000000011</v>
      </c>
      <c r="K75" s="233">
        <v>8.8979999999999997</v>
      </c>
      <c r="L75" s="233">
        <v>9.3649999999999984</v>
      </c>
      <c r="M75" s="233">
        <v>9.7510000000000012</v>
      </c>
      <c r="N75" s="233">
        <v>6.8959999999999999</v>
      </c>
      <c r="O75" s="233">
        <v>7.7779999999999996</v>
      </c>
      <c r="P75" s="83"/>
      <c r="Q75" s="281">
        <v>92.323999999999998</v>
      </c>
      <c r="R75" s="83">
        <v>44.567</v>
      </c>
      <c r="S75" s="83">
        <v>181.82199999999997</v>
      </c>
      <c r="T75" s="83">
        <v>136.495</v>
      </c>
      <c r="U75" s="83">
        <v>92.532999999999987</v>
      </c>
      <c r="V75" s="83">
        <v>47.871000000000009</v>
      </c>
      <c r="W75" s="83">
        <v>214.78799999999998</v>
      </c>
      <c r="X75" s="83">
        <v>27.852999999999998</v>
      </c>
      <c r="Y75" s="83">
        <v>18.178000000000001</v>
      </c>
      <c r="Z75" s="83">
        <v>8.8979999999999997</v>
      </c>
      <c r="AA75" s="83">
        <v>33.79</v>
      </c>
      <c r="AB75" s="83">
        <v>24.425000000000001</v>
      </c>
      <c r="AC75" s="83">
        <v>14.673999999999999</v>
      </c>
      <c r="AD75" s="83">
        <v>7.7779999999999996</v>
      </c>
    </row>
    <row r="76" spans="1:30">
      <c r="A76" s="19" t="s">
        <v>40</v>
      </c>
      <c r="B76" s="282">
        <v>-12.386000000000003</v>
      </c>
      <c r="C76" s="233">
        <v>-12.773</v>
      </c>
      <c r="D76" s="233">
        <v>-15.225000000000001</v>
      </c>
      <c r="E76" s="233">
        <v>-12.048999999999999</v>
      </c>
      <c r="F76" s="233">
        <v>-10.747</v>
      </c>
      <c r="G76" s="233">
        <v>-10.582000000000001</v>
      </c>
      <c r="H76" s="233">
        <v>-35.18</v>
      </c>
      <c r="I76" s="233">
        <v>-2.6289999999999996</v>
      </c>
      <c r="J76" s="233">
        <v>-2.25</v>
      </c>
      <c r="K76" s="233">
        <v>-2.181</v>
      </c>
      <c r="L76" s="233">
        <v>-2.202</v>
      </c>
      <c r="M76" s="233">
        <v>-2.0919999999999996</v>
      </c>
      <c r="N76" s="233">
        <v>-2.1120000000000001</v>
      </c>
      <c r="O76" s="233">
        <v>-2.0880000000000001</v>
      </c>
      <c r="P76" s="83"/>
      <c r="Q76" s="281">
        <v>-25.159000000000002</v>
      </c>
      <c r="R76" s="83">
        <v>-12.773</v>
      </c>
      <c r="S76" s="83">
        <v>-48.603000000000002</v>
      </c>
      <c r="T76" s="83">
        <v>-33.378</v>
      </c>
      <c r="U76" s="83">
        <v>-21.329000000000001</v>
      </c>
      <c r="V76" s="83">
        <v>-10.582000000000001</v>
      </c>
      <c r="W76" s="83">
        <v>-42.24</v>
      </c>
      <c r="X76" s="83">
        <v>-7.06</v>
      </c>
      <c r="Y76" s="83">
        <v>-4.431</v>
      </c>
      <c r="Z76" s="83">
        <v>-2.181</v>
      </c>
      <c r="AA76" s="83">
        <v>-8.4939999999999998</v>
      </c>
      <c r="AB76" s="83">
        <v>-6.2919999999999998</v>
      </c>
      <c r="AC76" s="83">
        <v>-4.2</v>
      </c>
      <c r="AD76" s="83">
        <v>-2.0880000000000001</v>
      </c>
    </row>
    <row r="77" spans="1:30">
      <c r="A77" s="19" t="s">
        <v>92</v>
      </c>
      <c r="B77" s="282">
        <v>35.370999999999995</v>
      </c>
      <c r="C77" s="233">
        <v>31.794</v>
      </c>
      <c r="D77" s="233">
        <v>30.101999999999961</v>
      </c>
      <c r="E77" s="233">
        <v>31.913000000000025</v>
      </c>
      <c r="F77" s="233">
        <v>33.914999999999971</v>
      </c>
      <c r="G77" s="233">
        <v>37.289000000000009</v>
      </c>
      <c r="H77" s="233">
        <v>151.75499999999997</v>
      </c>
      <c r="I77" s="233">
        <v>7.0459999999999994</v>
      </c>
      <c r="J77" s="233">
        <v>7.03</v>
      </c>
      <c r="K77" s="233">
        <v>6.7169999999999996</v>
      </c>
      <c r="L77" s="233">
        <v>7.1629999999999967</v>
      </c>
      <c r="M77" s="233">
        <v>7.6590000000000025</v>
      </c>
      <c r="N77" s="233">
        <v>4.7840000000000007</v>
      </c>
      <c r="O77" s="233">
        <v>5.6899999999999995</v>
      </c>
      <c r="P77" s="83"/>
      <c r="Q77" s="281">
        <v>67.164999999999992</v>
      </c>
      <c r="R77" s="83">
        <v>31.794</v>
      </c>
      <c r="S77" s="83">
        <v>133.21899999999997</v>
      </c>
      <c r="T77" s="83">
        <v>103.117</v>
      </c>
      <c r="U77" s="83">
        <v>71.203999999999979</v>
      </c>
      <c r="V77" s="83">
        <v>37.289000000000009</v>
      </c>
      <c r="W77" s="83">
        <v>172.54799999999997</v>
      </c>
      <c r="X77" s="83">
        <v>20.792999999999999</v>
      </c>
      <c r="Y77" s="83">
        <v>13.747</v>
      </c>
      <c r="Z77" s="83">
        <v>6.7169999999999996</v>
      </c>
      <c r="AA77" s="83">
        <v>25.295999999999999</v>
      </c>
      <c r="AB77" s="83">
        <v>18.133000000000003</v>
      </c>
      <c r="AC77" s="83">
        <v>10.474</v>
      </c>
      <c r="AD77" s="83">
        <v>5.6899999999999995</v>
      </c>
    </row>
    <row r="78" spans="1:30" ht="27.75" customHeight="1">
      <c r="A78" s="79" t="s">
        <v>507</v>
      </c>
      <c r="B78" s="180">
        <v>-0.15200000000000002</v>
      </c>
      <c r="C78" s="77">
        <v>-0.39</v>
      </c>
      <c r="D78" s="77">
        <v>-2.7349999999999994</v>
      </c>
      <c r="E78" s="77">
        <v>-2.6680000000000006</v>
      </c>
      <c r="F78" s="77">
        <v>-4.0999999999999925E-2</v>
      </c>
      <c r="G78" s="77">
        <v>-3.226</v>
      </c>
      <c r="H78" s="77">
        <v>-1.9039999999999999</v>
      </c>
      <c r="I78" s="77">
        <v>0.90899999999999992</v>
      </c>
      <c r="J78" s="77">
        <v>-1.573</v>
      </c>
      <c r="K78" s="77">
        <v>0.52600000000000002</v>
      </c>
      <c r="L78" s="77">
        <v>-3.4999999999999698E-2</v>
      </c>
      <c r="M78" s="77">
        <v>-1.8590000000000002</v>
      </c>
      <c r="N78" s="77">
        <v>-0.14699999999999999</v>
      </c>
      <c r="O78" s="77">
        <v>-2.9000000000000001E-2</v>
      </c>
      <c r="P78" s="81"/>
      <c r="Q78" s="280">
        <v>-0.54200000000000004</v>
      </c>
      <c r="R78" s="81">
        <v>-0.39</v>
      </c>
      <c r="S78" s="81">
        <v>-8.67</v>
      </c>
      <c r="T78" s="81">
        <v>-5.9350000000000005</v>
      </c>
      <c r="U78" s="81">
        <v>-3.2669999999999999</v>
      </c>
      <c r="V78" s="81">
        <v>-3.226</v>
      </c>
      <c r="W78" s="81">
        <v>-2.0419999999999998</v>
      </c>
      <c r="X78" s="81">
        <v>-0.13800000000000001</v>
      </c>
      <c r="Y78" s="81">
        <v>-1.0469999999999999</v>
      </c>
      <c r="Z78" s="81">
        <v>0.52600000000000002</v>
      </c>
      <c r="AA78" s="81">
        <v>-2.0699999999999998</v>
      </c>
      <c r="AB78" s="81">
        <v>-2.0350000000000001</v>
      </c>
      <c r="AC78" s="81">
        <v>-0.17599999999999999</v>
      </c>
      <c r="AD78" s="81">
        <v>-2.9000000000000001E-2</v>
      </c>
    </row>
    <row r="79" spans="1:30">
      <c r="A79" s="38" t="s">
        <v>93</v>
      </c>
      <c r="B79" s="180">
        <v>0</v>
      </c>
      <c r="C79" s="77">
        <v>0</v>
      </c>
      <c r="D79" s="77">
        <v>0.61399999999999999</v>
      </c>
      <c r="E79" s="77">
        <v>0</v>
      </c>
      <c r="F79" s="77">
        <v>0</v>
      </c>
      <c r="G79" s="77">
        <v>0</v>
      </c>
      <c r="H79" s="77">
        <v>0.56499999999999995</v>
      </c>
      <c r="I79" s="77">
        <v>0</v>
      </c>
      <c r="J79" s="77">
        <v>0</v>
      </c>
      <c r="K79" s="77">
        <v>0</v>
      </c>
      <c r="L79" s="77">
        <v>0</v>
      </c>
      <c r="M79" s="77">
        <v>0</v>
      </c>
      <c r="N79" s="77">
        <v>0</v>
      </c>
      <c r="O79" s="77">
        <v>0</v>
      </c>
      <c r="P79" s="81"/>
      <c r="Q79" s="280">
        <v>0</v>
      </c>
      <c r="R79" s="81">
        <v>0</v>
      </c>
      <c r="S79" s="81">
        <v>0.61399999999999999</v>
      </c>
      <c r="T79" s="81">
        <v>0</v>
      </c>
      <c r="U79" s="81">
        <v>0</v>
      </c>
      <c r="V79" s="81">
        <v>0</v>
      </c>
      <c r="W79" s="81">
        <v>0.56499999999999995</v>
      </c>
      <c r="X79" s="81">
        <v>0</v>
      </c>
      <c r="Y79" s="81">
        <v>0</v>
      </c>
      <c r="Z79" s="81">
        <v>0</v>
      </c>
      <c r="AA79" s="81">
        <v>0</v>
      </c>
      <c r="AB79" s="81">
        <v>0</v>
      </c>
      <c r="AC79" s="81">
        <v>0</v>
      </c>
      <c r="AD79" s="81">
        <v>0</v>
      </c>
    </row>
    <row r="80" spans="1:30">
      <c r="A80" s="38" t="s">
        <v>94</v>
      </c>
      <c r="B80" s="180">
        <v>0</v>
      </c>
      <c r="C80" s="77">
        <v>0</v>
      </c>
      <c r="D80" s="77">
        <v>0</v>
      </c>
      <c r="E80" s="77">
        <v>0</v>
      </c>
      <c r="F80" s="77">
        <v>0</v>
      </c>
      <c r="G80" s="77">
        <v>0</v>
      </c>
      <c r="H80" s="77">
        <v>0</v>
      </c>
      <c r="I80" s="77">
        <v>0</v>
      </c>
      <c r="J80" s="77">
        <v>0</v>
      </c>
      <c r="K80" s="77">
        <v>0</v>
      </c>
      <c r="L80" s="77">
        <v>0</v>
      </c>
      <c r="M80" s="77">
        <v>0</v>
      </c>
      <c r="N80" s="77">
        <v>0</v>
      </c>
      <c r="O80" s="77">
        <v>0</v>
      </c>
      <c r="P80" s="81"/>
      <c r="Q80" s="280">
        <v>0</v>
      </c>
      <c r="R80" s="81">
        <v>0</v>
      </c>
      <c r="S80" s="81">
        <v>0</v>
      </c>
      <c r="T80" s="81">
        <v>0</v>
      </c>
      <c r="U80" s="81">
        <v>0</v>
      </c>
      <c r="V80" s="81">
        <v>0</v>
      </c>
      <c r="W80" s="81">
        <v>0</v>
      </c>
      <c r="X80" s="81">
        <v>0</v>
      </c>
      <c r="Y80" s="81">
        <v>0</v>
      </c>
      <c r="Z80" s="81">
        <v>0</v>
      </c>
      <c r="AA80" s="81">
        <v>0</v>
      </c>
      <c r="AB80" s="81">
        <v>0</v>
      </c>
      <c r="AC80" s="81">
        <v>0</v>
      </c>
      <c r="AD80" s="81">
        <v>0</v>
      </c>
    </row>
    <row r="81" spans="1:30">
      <c r="A81" s="38" t="s">
        <v>95</v>
      </c>
      <c r="B81" s="180">
        <v>0</v>
      </c>
      <c r="C81" s="77">
        <v>0</v>
      </c>
      <c r="D81" s="77">
        <v>0</v>
      </c>
      <c r="E81" s="77">
        <v>0</v>
      </c>
      <c r="F81" s="77">
        <v>0</v>
      </c>
      <c r="G81" s="77">
        <v>0</v>
      </c>
      <c r="H81" s="77">
        <v>0</v>
      </c>
      <c r="I81" s="77">
        <v>0</v>
      </c>
      <c r="J81" s="77">
        <v>0</v>
      </c>
      <c r="K81" s="77">
        <v>0</v>
      </c>
      <c r="L81" s="77">
        <v>0</v>
      </c>
      <c r="M81" s="77">
        <v>0</v>
      </c>
      <c r="N81" s="77">
        <v>0</v>
      </c>
      <c r="O81" s="77">
        <v>0</v>
      </c>
      <c r="P81" s="81"/>
      <c r="Q81" s="280">
        <v>0</v>
      </c>
      <c r="R81" s="81">
        <v>0</v>
      </c>
      <c r="S81" s="81">
        <v>0</v>
      </c>
      <c r="T81" s="81">
        <v>0</v>
      </c>
      <c r="U81" s="81">
        <v>0</v>
      </c>
      <c r="V81" s="81">
        <v>0</v>
      </c>
      <c r="W81" s="81">
        <v>0</v>
      </c>
      <c r="X81" s="81">
        <v>0</v>
      </c>
      <c r="Y81" s="81">
        <v>0</v>
      </c>
      <c r="Z81" s="81">
        <v>0</v>
      </c>
      <c r="AA81" s="81">
        <v>0</v>
      </c>
      <c r="AB81" s="81">
        <v>0</v>
      </c>
      <c r="AC81" s="81">
        <v>0</v>
      </c>
      <c r="AD81" s="81">
        <v>0</v>
      </c>
    </row>
    <row r="82" spans="1:30">
      <c r="A82" s="19" t="s">
        <v>96</v>
      </c>
      <c r="B82" s="282">
        <v>35.218999999999994</v>
      </c>
      <c r="C82" s="233">
        <v>31.404</v>
      </c>
      <c r="D82" s="233">
        <v>27.980999999999966</v>
      </c>
      <c r="E82" s="233">
        <v>29.245000000000019</v>
      </c>
      <c r="F82" s="233">
        <v>33.873999999999974</v>
      </c>
      <c r="G82" s="233">
        <v>34.063000000000009</v>
      </c>
      <c r="H82" s="233">
        <v>150.41599999999997</v>
      </c>
      <c r="I82" s="233">
        <v>7.9549999999999983</v>
      </c>
      <c r="J82" s="233">
        <v>5.4569999999999999</v>
      </c>
      <c r="K82" s="233">
        <v>7.2429999999999994</v>
      </c>
      <c r="L82" s="233">
        <v>7.1279999999999966</v>
      </c>
      <c r="M82" s="233">
        <v>5.8000000000000025</v>
      </c>
      <c r="N82" s="233">
        <v>4.6370000000000005</v>
      </c>
      <c r="O82" s="233">
        <v>5.6609999999999996</v>
      </c>
      <c r="P82" s="83"/>
      <c r="Q82" s="281">
        <v>66.62299999999999</v>
      </c>
      <c r="R82" s="83">
        <v>31.404</v>
      </c>
      <c r="S82" s="83">
        <v>125.16299999999997</v>
      </c>
      <c r="T82" s="83">
        <v>97.182000000000002</v>
      </c>
      <c r="U82" s="83">
        <v>67.936999999999983</v>
      </c>
      <c r="V82" s="83">
        <v>34.063000000000009</v>
      </c>
      <c r="W82" s="83">
        <v>171.07099999999997</v>
      </c>
      <c r="X82" s="83">
        <v>20.654999999999998</v>
      </c>
      <c r="Y82" s="83">
        <v>12.7</v>
      </c>
      <c r="Z82" s="83">
        <v>7.2429999999999994</v>
      </c>
      <c r="AA82" s="83">
        <v>23.225999999999999</v>
      </c>
      <c r="AB82" s="83">
        <v>16.098000000000003</v>
      </c>
      <c r="AC82" s="83">
        <v>10.298</v>
      </c>
      <c r="AD82" s="83">
        <v>5.6609999999999996</v>
      </c>
    </row>
    <row r="83" spans="1:30">
      <c r="A83" s="38" t="s">
        <v>45</v>
      </c>
      <c r="B83" s="180">
        <v>-5.282</v>
      </c>
      <c r="C83" s="77">
        <v>-4.7110000000000003</v>
      </c>
      <c r="D83" s="77">
        <v>2.7707499999999996</v>
      </c>
      <c r="E83" s="77">
        <v>-3.6556250000000023</v>
      </c>
      <c r="F83" s="77">
        <v>-4.2342499999999967</v>
      </c>
      <c r="G83" s="77">
        <v>-4.2578750000000012</v>
      </c>
      <c r="H83" s="77">
        <v>-18.285624999999996</v>
      </c>
      <c r="I83" s="77">
        <v>-1.1932499999999999</v>
      </c>
      <c r="J83" s="77">
        <v>-0.81854999999999989</v>
      </c>
      <c r="K83" s="77">
        <v>-1.0864499999999999</v>
      </c>
      <c r="L83" s="77">
        <v>-0.89099999999999957</v>
      </c>
      <c r="M83" s="77">
        <v>-0.72500000000000031</v>
      </c>
      <c r="N83" s="77">
        <v>-0.57962500000000006</v>
      </c>
      <c r="O83" s="77">
        <v>-0.70762499999999995</v>
      </c>
      <c r="P83" s="81"/>
      <c r="Q83" s="280">
        <v>-9.9930000000000003</v>
      </c>
      <c r="R83" s="81">
        <v>-4.7110000000000003</v>
      </c>
      <c r="S83" s="81">
        <v>-9.3770000000000007</v>
      </c>
      <c r="T83" s="81">
        <v>-12.14775</v>
      </c>
      <c r="U83" s="81">
        <v>-8.4921249999999979</v>
      </c>
      <c r="V83" s="81">
        <v>-4.2578750000000012</v>
      </c>
      <c r="W83" s="81">
        <v>-21.383874999999996</v>
      </c>
      <c r="X83" s="81">
        <v>-3.0982499999999997</v>
      </c>
      <c r="Y83" s="81">
        <v>-1.9049999999999998</v>
      </c>
      <c r="Z83" s="81">
        <v>-1.0864499999999999</v>
      </c>
      <c r="AA83" s="81">
        <v>-2.9032499999999999</v>
      </c>
      <c r="AB83" s="81">
        <v>-2.0122500000000003</v>
      </c>
      <c r="AC83" s="81">
        <v>-1.28725</v>
      </c>
      <c r="AD83" s="81">
        <v>-0.70762499999999995</v>
      </c>
    </row>
    <row r="84" spans="1:30">
      <c r="A84" s="38" t="s">
        <v>97</v>
      </c>
      <c r="B84" s="180">
        <v>0</v>
      </c>
      <c r="C84" s="77">
        <v>0</v>
      </c>
      <c r="D84" s="77">
        <v>0</v>
      </c>
      <c r="E84" s="77">
        <v>0</v>
      </c>
      <c r="F84" s="77">
        <v>0</v>
      </c>
      <c r="G84" s="77">
        <v>0</v>
      </c>
      <c r="H84" s="77">
        <v>0</v>
      </c>
      <c r="I84" s="77">
        <v>0</v>
      </c>
      <c r="J84" s="77">
        <v>0</v>
      </c>
      <c r="K84" s="77">
        <v>0</v>
      </c>
      <c r="L84" s="77">
        <v>0</v>
      </c>
      <c r="M84" s="77">
        <v>0</v>
      </c>
      <c r="N84" s="77">
        <v>0</v>
      </c>
      <c r="O84" s="77">
        <v>0</v>
      </c>
      <c r="P84" s="81"/>
      <c r="Q84" s="280">
        <v>0</v>
      </c>
      <c r="R84" s="81">
        <v>0</v>
      </c>
      <c r="S84" s="81">
        <v>0</v>
      </c>
      <c r="T84" s="81">
        <v>0</v>
      </c>
      <c r="U84" s="81">
        <v>0</v>
      </c>
      <c r="V84" s="81">
        <v>0</v>
      </c>
      <c r="W84" s="81">
        <v>0</v>
      </c>
      <c r="X84" s="81">
        <v>0</v>
      </c>
      <c r="Y84" s="81">
        <v>0</v>
      </c>
      <c r="Z84" s="81">
        <v>0</v>
      </c>
      <c r="AA84" s="81">
        <v>0</v>
      </c>
      <c r="AB84" s="81">
        <v>0</v>
      </c>
      <c r="AC84" s="81">
        <v>0</v>
      </c>
      <c r="AD84" s="81">
        <v>0</v>
      </c>
    </row>
    <row r="85" spans="1:30">
      <c r="A85" s="19" t="s">
        <v>98</v>
      </c>
      <c r="B85" s="282">
        <v>29.936999999999991</v>
      </c>
      <c r="C85" s="233">
        <v>26.692999999999998</v>
      </c>
      <c r="D85" s="233">
        <v>30.751749999999973</v>
      </c>
      <c r="E85" s="233">
        <v>25.589375000000018</v>
      </c>
      <c r="F85" s="233">
        <v>29.639749999999975</v>
      </c>
      <c r="G85" s="233">
        <v>29.805125000000007</v>
      </c>
      <c r="H85" s="233">
        <v>132.13037499999999</v>
      </c>
      <c r="I85" s="233">
        <v>6.7617499999999975</v>
      </c>
      <c r="J85" s="233">
        <v>4.6384500000000006</v>
      </c>
      <c r="K85" s="233">
        <v>6.1565499999999993</v>
      </c>
      <c r="L85" s="233">
        <v>6.2369999999999965</v>
      </c>
      <c r="M85" s="233">
        <v>5.0750000000000028</v>
      </c>
      <c r="N85" s="233">
        <v>4.0573750000000004</v>
      </c>
      <c r="O85" s="233">
        <v>4.9533749999999994</v>
      </c>
      <c r="P85" s="83"/>
      <c r="Q85" s="281">
        <v>56.629999999999988</v>
      </c>
      <c r="R85" s="83">
        <v>26.692999999999998</v>
      </c>
      <c r="S85" s="83">
        <v>115.78599999999997</v>
      </c>
      <c r="T85" s="83">
        <v>85.03425</v>
      </c>
      <c r="U85" s="83">
        <v>59.444874999999982</v>
      </c>
      <c r="V85" s="83">
        <v>29.805125000000007</v>
      </c>
      <c r="W85" s="83">
        <v>149.68712499999998</v>
      </c>
      <c r="X85" s="83">
        <v>17.556749999999997</v>
      </c>
      <c r="Y85" s="83">
        <v>10.795</v>
      </c>
      <c r="Z85" s="83">
        <v>6.1565499999999993</v>
      </c>
      <c r="AA85" s="83">
        <v>20.322749999999999</v>
      </c>
      <c r="AB85" s="83">
        <v>14.085750000000003</v>
      </c>
      <c r="AC85" s="83">
        <v>9.0107499999999998</v>
      </c>
      <c r="AD85" s="83">
        <v>4.9533749999999994</v>
      </c>
    </row>
    <row r="86" spans="1:30">
      <c r="A86" s="25"/>
      <c r="B86" s="25"/>
      <c r="C86" s="25"/>
      <c r="D86" s="25"/>
      <c r="E86" s="25"/>
      <c r="F86" s="25"/>
      <c r="G86" s="25"/>
      <c r="H86" s="25"/>
      <c r="I86" s="25"/>
      <c r="J86" s="25"/>
      <c r="K86" s="25"/>
      <c r="L86" s="25"/>
      <c r="M86" s="25"/>
      <c r="N86" s="25"/>
      <c r="O86" s="25"/>
      <c r="P86" s="82"/>
      <c r="Q86" s="82"/>
      <c r="R86" s="82"/>
      <c r="S86" s="82"/>
      <c r="T86" s="82"/>
      <c r="U86" s="82"/>
      <c r="V86" s="82"/>
      <c r="W86" s="82"/>
      <c r="X86" s="82"/>
      <c r="Y86" s="82"/>
      <c r="Z86" s="82"/>
      <c r="AA86" s="82"/>
      <c r="AB86" s="82"/>
      <c r="AC86" s="82"/>
      <c r="AD86" s="82"/>
    </row>
    <row r="87" spans="1:30">
      <c r="A87" s="19" t="s">
        <v>33</v>
      </c>
      <c r="B87" s="75" t="s">
        <v>552</v>
      </c>
      <c r="C87" s="75" t="s">
        <v>500</v>
      </c>
      <c r="D87" s="75" t="s">
        <v>444</v>
      </c>
      <c r="E87" s="75" t="s">
        <v>441</v>
      </c>
      <c r="F87" s="75" t="s">
        <v>424</v>
      </c>
      <c r="G87" s="75" t="s">
        <v>370</v>
      </c>
      <c r="H87" s="75" t="s">
        <v>364</v>
      </c>
      <c r="I87" s="75" t="s">
        <v>335</v>
      </c>
      <c r="J87" s="75" t="s">
        <v>327</v>
      </c>
      <c r="K87" s="75" t="s">
        <v>320</v>
      </c>
      <c r="L87" s="75" t="s">
        <v>313</v>
      </c>
      <c r="M87" s="75" t="s">
        <v>285</v>
      </c>
      <c r="N87" s="75" t="s">
        <v>278</v>
      </c>
      <c r="O87" s="75" t="s">
        <v>273</v>
      </c>
      <c r="P87" s="75"/>
      <c r="Q87" s="75" t="s">
        <v>553</v>
      </c>
      <c r="R87" s="75" t="s">
        <v>501</v>
      </c>
      <c r="S87" s="75" t="s">
        <v>445</v>
      </c>
      <c r="T87" s="75" t="s">
        <v>442</v>
      </c>
      <c r="U87" s="75" t="s">
        <v>425</v>
      </c>
      <c r="V87" s="75" t="s">
        <v>371</v>
      </c>
      <c r="W87" s="75" t="s">
        <v>365</v>
      </c>
      <c r="X87" s="75" t="s">
        <v>336</v>
      </c>
      <c r="Y87" s="75" t="s">
        <v>328</v>
      </c>
      <c r="Z87" s="75" t="s">
        <v>321</v>
      </c>
      <c r="AA87" s="75" t="s">
        <v>314</v>
      </c>
      <c r="AB87" s="75" t="s">
        <v>286</v>
      </c>
      <c r="AC87" s="75" t="s">
        <v>279</v>
      </c>
      <c r="AD87" s="75" t="s">
        <v>274</v>
      </c>
    </row>
    <row r="88" spans="1:30">
      <c r="A88" s="21" t="s">
        <v>509</v>
      </c>
      <c r="B88" s="21"/>
      <c r="C88" s="21"/>
      <c r="D88" s="21"/>
      <c r="E88" s="21"/>
      <c r="F88" s="21"/>
      <c r="G88" s="21"/>
      <c r="H88" s="21"/>
      <c r="I88" s="21"/>
      <c r="J88" s="21"/>
      <c r="K88" s="21"/>
      <c r="L88" s="21"/>
      <c r="M88" s="21"/>
      <c r="N88" s="21"/>
      <c r="O88" s="21"/>
      <c r="P88" s="85"/>
      <c r="Q88" s="85"/>
      <c r="R88" s="85"/>
      <c r="S88" s="85"/>
      <c r="T88" s="85"/>
      <c r="U88" s="85"/>
      <c r="V88" s="85"/>
      <c r="W88" s="85"/>
      <c r="X88" s="85"/>
      <c r="Y88" s="85"/>
      <c r="Z88" s="85"/>
      <c r="AA88" s="85"/>
      <c r="AB88" s="85"/>
      <c r="AC88" s="85"/>
      <c r="AD88" s="85"/>
    </row>
    <row r="89" spans="1:30">
      <c r="A89" s="38" t="s">
        <v>34</v>
      </c>
      <c r="B89" s="180">
        <v>0</v>
      </c>
      <c r="C89" s="77">
        <v>0</v>
      </c>
      <c r="D89" s="77">
        <v>0</v>
      </c>
      <c r="E89" s="77">
        <v>0</v>
      </c>
      <c r="F89" s="77">
        <v>0</v>
      </c>
      <c r="G89" s="77">
        <v>0</v>
      </c>
      <c r="H89" s="77">
        <v>0</v>
      </c>
      <c r="I89" s="77">
        <v>30.791999999999994</v>
      </c>
      <c r="J89" s="77">
        <v>31.971999999999998</v>
      </c>
      <c r="K89" s="77">
        <v>31.428000000000001</v>
      </c>
      <c r="L89" s="77">
        <v>33.230000000000004</v>
      </c>
      <c r="M89" s="77">
        <v>32.686</v>
      </c>
      <c r="N89" s="77">
        <v>30.214000000000002</v>
      </c>
      <c r="O89" s="77">
        <v>26.876999999999999</v>
      </c>
      <c r="P89" s="81"/>
      <c r="Q89" s="280">
        <v>0</v>
      </c>
      <c r="R89" s="81">
        <v>0</v>
      </c>
      <c r="S89" s="81">
        <v>0</v>
      </c>
      <c r="T89" s="81">
        <v>0</v>
      </c>
      <c r="U89" s="81">
        <v>0</v>
      </c>
      <c r="V89" s="81">
        <v>0</v>
      </c>
      <c r="W89" s="81">
        <v>0</v>
      </c>
      <c r="X89" s="81">
        <v>94.191999999999993</v>
      </c>
      <c r="Y89" s="81">
        <v>63.4</v>
      </c>
      <c r="Z89" s="81">
        <v>31.428000000000001</v>
      </c>
      <c r="AA89" s="81">
        <v>123.00700000000001</v>
      </c>
      <c r="AB89" s="81">
        <v>89.777000000000001</v>
      </c>
      <c r="AC89" s="81">
        <v>57.091000000000001</v>
      </c>
      <c r="AD89" s="81">
        <v>26.876999999999999</v>
      </c>
    </row>
    <row r="90" spans="1:30">
      <c r="A90" s="38" t="s">
        <v>91</v>
      </c>
      <c r="B90" s="180">
        <v>0</v>
      </c>
      <c r="C90" s="77">
        <v>0</v>
      </c>
      <c r="D90" s="77">
        <v>0</v>
      </c>
      <c r="E90" s="77">
        <v>0</v>
      </c>
      <c r="F90" s="77">
        <v>0</v>
      </c>
      <c r="G90" s="77">
        <v>0</v>
      </c>
      <c r="H90" s="77">
        <v>0</v>
      </c>
      <c r="I90" s="77">
        <v>11.228999999999996</v>
      </c>
      <c r="J90" s="77">
        <v>11.949000000000002</v>
      </c>
      <c r="K90" s="77">
        <v>11.356999999999999</v>
      </c>
      <c r="L90" s="77">
        <v>12.353999999999999</v>
      </c>
      <c r="M90" s="77">
        <v>11.526000000000003</v>
      </c>
      <c r="N90" s="77">
        <v>13.548999999999999</v>
      </c>
      <c r="O90" s="77">
        <v>12.988</v>
      </c>
      <c r="P90" s="81"/>
      <c r="Q90" s="280">
        <v>0</v>
      </c>
      <c r="R90" s="81">
        <v>0</v>
      </c>
      <c r="S90" s="81">
        <v>0</v>
      </c>
      <c r="T90" s="81">
        <v>0</v>
      </c>
      <c r="U90" s="81">
        <v>0</v>
      </c>
      <c r="V90" s="81">
        <v>0</v>
      </c>
      <c r="W90" s="81">
        <v>0</v>
      </c>
      <c r="X90" s="81">
        <v>34.534999999999997</v>
      </c>
      <c r="Y90" s="81">
        <v>23.306000000000001</v>
      </c>
      <c r="Z90" s="81">
        <v>11.356999999999999</v>
      </c>
      <c r="AA90" s="81">
        <v>50.417000000000002</v>
      </c>
      <c r="AB90" s="81">
        <v>38.063000000000002</v>
      </c>
      <c r="AC90" s="81">
        <v>26.536999999999999</v>
      </c>
      <c r="AD90" s="81">
        <v>12.988</v>
      </c>
    </row>
    <row r="91" spans="1:30">
      <c r="A91" s="38" t="s">
        <v>36</v>
      </c>
      <c r="B91" s="180">
        <v>0</v>
      </c>
      <c r="C91" s="77">
        <v>0</v>
      </c>
      <c r="D91" s="77">
        <v>0</v>
      </c>
      <c r="E91" s="77">
        <v>0</v>
      </c>
      <c r="F91" s="77">
        <v>0</v>
      </c>
      <c r="G91" s="77">
        <v>0</v>
      </c>
      <c r="H91" s="77">
        <v>0</v>
      </c>
      <c r="I91" s="77">
        <v>1.5779999999999998</v>
      </c>
      <c r="J91" s="77">
        <v>1.706</v>
      </c>
      <c r="K91" s="77">
        <v>1.4390000000000001</v>
      </c>
      <c r="L91" s="77">
        <v>1.4710000000000005</v>
      </c>
      <c r="M91" s="77">
        <v>1.1949999999999998</v>
      </c>
      <c r="N91" s="77">
        <v>1.3879999999999999</v>
      </c>
      <c r="O91" s="77">
        <v>1.306</v>
      </c>
      <c r="P91" s="81"/>
      <c r="Q91" s="280">
        <v>0</v>
      </c>
      <c r="R91" s="81">
        <v>0</v>
      </c>
      <c r="S91" s="81">
        <v>0</v>
      </c>
      <c r="T91" s="81">
        <v>0</v>
      </c>
      <c r="U91" s="81">
        <v>0</v>
      </c>
      <c r="V91" s="81">
        <v>0</v>
      </c>
      <c r="W91" s="81">
        <v>0</v>
      </c>
      <c r="X91" s="81">
        <v>4.7229999999999999</v>
      </c>
      <c r="Y91" s="81">
        <v>3.145</v>
      </c>
      <c r="Z91" s="81">
        <v>1.4390000000000001</v>
      </c>
      <c r="AA91" s="81">
        <v>5.36</v>
      </c>
      <c r="AB91" s="81">
        <v>3.8889999999999998</v>
      </c>
      <c r="AC91" s="81">
        <v>2.694</v>
      </c>
      <c r="AD91" s="81">
        <v>1.306</v>
      </c>
    </row>
    <row r="92" spans="1:30">
      <c r="A92" s="19" t="s">
        <v>37</v>
      </c>
      <c r="B92" s="282">
        <v>0</v>
      </c>
      <c r="C92" s="233">
        <v>0</v>
      </c>
      <c r="D92" s="233">
        <v>0</v>
      </c>
      <c r="E92" s="233">
        <v>0</v>
      </c>
      <c r="F92" s="233">
        <v>0</v>
      </c>
      <c r="G92" s="233">
        <v>0</v>
      </c>
      <c r="H92" s="233">
        <v>0</v>
      </c>
      <c r="I92" s="233">
        <v>43.59899999999999</v>
      </c>
      <c r="J92" s="233">
        <v>45.627000000000002</v>
      </c>
      <c r="K92" s="233">
        <v>44.223999999999997</v>
      </c>
      <c r="L92" s="233">
        <v>47.055000000000007</v>
      </c>
      <c r="M92" s="233">
        <v>45.407000000000011</v>
      </c>
      <c r="N92" s="233">
        <v>45.15100000000001</v>
      </c>
      <c r="O92" s="233">
        <v>41.170999999999992</v>
      </c>
      <c r="P92" s="83"/>
      <c r="Q92" s="281">
        <v>0</v>
      </c>
      <c r="R92" s="83">
        <v>0</v>
      </c>
      <c r="S92" s="83">
        <v>0</v>
      </c>
      <c r="T92" s="83">
        <v>0</v>
      </c>
      <c r="U92" s="83">
        <v>0</v>
      </c>
      <c r="V92" s="83">
        <v>0</v>
      </c>
      <c r="W92" s="83">
        <v>0</v>
      </c>
      <c r="X92" s="83">
        <v>133.44999999999999</v>
      </c>
      <c r="Y92" s="83">
        <v>89.850999999999999</v>
      </c>
      <c r="Z92" s="83">
        <v>44.223999999999997</v>
      </c>
      <c r="AA92" s="83">
        <v>178.78400000000002</v>
      </c>
      <c r="AB92" s="83">
        <v>131.72900000000001</v>
      </c>
      <c r="AC92" s="83">
        <v>86.322000000000003</v>
      </c>
      <c r="AD92" s="83">
        <v>41.170999999999992</v>
      </c>
    </row>
    <row r="93" spans="1:30">
      <c r="A93" s="19" t="s">
        <v>40</v>
      </c>
      <c r="B93" s="282">
        <v>0</v>
      </c>
      <c r="C93" s="233">
        <v>0</v>
      </c>
      <c r="D93" s="233">
        <v>0</v>
      </c>
      <c r="E93" s="233">
        <v>0</v>
      </c>
      <c r="F93" s="233">
        <v>0</v>
      </c>
      <c r="G93" s="233">
        <v>0</v>
      </c>
      <c r="H93" s="233">
        <v>0</v>
      </c>
      <c r="I93" s="233">
        <v>-7.7490000000000006</v>
      </c>
      <c r="J93" s="233">
        <v>-7.6259999999999994</v>
      </c>
      <c r="K93" s="233">
        <v>-8.18</v>
      </c>
      <c r="L93" s="233">
        <v>-8.8530000000000015</v>
      </c>
      <c r="M93" s="233">
        <v>-7.8299999999999983</v>
      </c>
      <c r="N93" s="233">
        <v>-6.9770000000000003</v>
      </c>
      <c r="O93" s="233">
        <v>-8.3979999999999997</v>
      </c>
      <c r="P93" s="83"/>
      <c r="Q93" s="281">
        <v>0</v>
      </c>
      <c r="R93" s="83">
        <v>0</v>
      </c>
      <c r="S93" s="83">
        <v>0</v>
      </c>
      <c r="T93" s="83">
        <v>0</v>
      </c>
      <c r="U93" s="83">
        <v>0</v>
      </c>
      <c r="V93" s="83">
        <v>0</v>
      </c>
      <c r="W93" s="83">
        <v>0</v>
      </c>
      <c r="X93" s="83">
        <v>-23.555</v>
      </c>
      <c r="Y93" s="83">
        <v>-15.805999999999999</v>
      </c>
      <c r="Z93" s="83">
        <v>-8.18</v>
      </c>
      <c r="AA93" s="83">
        <v>-32.058</v>
      </c>
      <c r="AB93" s="83">
        <v>-23.204999999999998</v>
      </c>
      <c r="AC93" s="83">
        <v>-15.375</v>
      </c>
      <c r="AD93" s="83">
        <v>-8.3979999999999997</v>
      </c>
    </row>
    <row r="94" spans="1:30">
      <c r="A94" s="19" t="s">
        <v>92</v>
      </c>
      <c r="B94" s="282">
        <v>0</v>
      </c>
      <c r="C94" s="233">
        <v>0</v>
      </c>
      <c r="D94" s="233">
        <v>0</v>
      </c>
      <c r="E94" s="233">
        <v>0</v>
      </c>
      <c r="F94" s="233">
        <v>0</v>
      </c>
      <c r="G94" s="233">
        <v>0</v>
      </c>
      <c r="H94" s="233">
        <v>0</v>
      </c>
      <c r="I94" s="233">
        <v>35.84999999999998</v>
      </c>
      <c r="J94" s="233">
        <v>38.001000000000005</v>
      </c>
      <c r="K94" s="233">
        <v>36.043999999999997</v>
      </c>
      <c r="L94" s="233">
        <v>38.202000000000012</v>
      </c>
      <c r="M94" s="233">
        <v>37.577000000000012</v>
      </c>
      <c r="N94" s="233">
        <v>38.174000000000007</v>
      </c>
      <c r="O94" s="233">
        <v>32.772999999999996</v>
      </c>
      <c r="P94" s="83"/>
      <c r="Q94" s="281">
        <v>0</v>
      </c>
      <c r="R94" s="83">
        <v>0</v>
      </c>
      <c r="S94" s="83">
        <v>0</v>
      </c>
      <c r="T94" s="83">
        <v>0</v>
      </c>
      <c r="U94" s="83">
        <v>0</v>
      </c>
      <c r="V94" s="83">
        <v>0</v>
      </c>
      <c r="W94" s="83">
        <v>0</v>
      </c>
      <c r="X94" s="83">
        <v>109.89499999999998</v>
      </c>
      <c r="Y94" s="83">
        <v>74.045000000000002</v>
      </c>
      <c r="Z94" s="83">
        <v>36.043999999999997</v>
      </c>
      <c r="AA94" s="83">
        <v>146.72600000000003</v>
      </c>
      <c r="AB94" s="83">
        <v>108.52400000000002</v>
      </c>
      <c r="AC94" s="83">
        <v>70.947000000000003</v>
      </c>
      <c r="AD94" s="83">
        <v>32.772999999999996</v>
      </c>
    </row>
    <row r="95" spans="1:30" ht="27" customHeight="1">
      <c r="A95" s="79" t="s">
        <v>507</v>
      </c>
      <c r="B95" s="180">
        <v>0</v>
      </c>
      <c r="C95" s="77">
        <v>0</v>
      </c>
      <c r="D95" s="77">
        <v>0</v>
      </c>
      <c r="E95" s="77">
        <v>0</v>
      </c>
      <c r="F95" s="77">
        <v>0</v>
      </c>
      <c r="G95" s="77">
        <v>0</v>
      </c>
      <c r="H95" s="77">
        <v>0</v>
      </c>
      <c r="I95" s="77">
        <v>-0.31900000000000001</v>
      </c>
      <c r="J95" s="77">
        <v>-0.17699999999999999</v>
      </c>
      <c r="K95" s="77">
        <v>-0.109</v>
      </c>
      <c r="L95" s="77">
        <v>0.13600000000000001</v>
      </c>
      <c r="M95" s="77">
        <v>-0.34199999999999997</v>
      </c>
      <c r="N95" s="77">
        <v>0.54900000000000004</v>
      </c>
      <c r="O95" s="77">
        <v>-0.64900000000000002</v>
      </c>
      <c r="P95" s="81"/>
      <c r="Q95" s="280">
        <v>0</v>
      </c>
      <c r="R95" s="81">
        <v>0</v>
      </c>
      <c r="S95" s="81">
        <v>0</v>
      </c>
      <c r="T95" s="81">
        <v>0</v>
      </c>
      <c r="U95" s="81">
        <v>0</v>
      </c>
      <c r="V95" s="81">
        <v>0</v>
      </c>
      <c r="W95" s="81">
        <v>0</v>
      </c>
      <c r="X95" s="81">
        <v>-0.60499999999999998</v>
      </c>
      <c r="Y95" s="81">
        <v>-0.28599999999999998</v>
      </c>
      <c r="Z95" s="81">
        <v>-0.109</v>
      </c>
      <c r="AA95" s="81">
        <v>-0.30599999999999999</v>
      </c>
      <c r="AB95" s="81">
        <v>-0.442</v>
      </c>
      <c r="AC95" s="81">
        <v>-0.1</v>
      </c>
      <c r="AD95" s="81">
        <v>-0.64900000000000002</v>
      </c>
    </row>
    <row r="96" spans="1:30">
      <c r="A96" s="38" t="s">
        <v>93</v>
      </c>
      <c r="B96" s="180">
        <v>0</v>
      </c>
      <c r="C96" s="77">
        <v>0</v>
      </c>
      <c r="D96" s="77">
        <v>0</v>
      </c>
      <c r="E96" s="77">
        <v>0</v>
      </c>
      <c r="F96" s="77">
        <v>0</v>
      </c>
      <c r="G96" s="77">
        <v>0</v>
      </c>
      <c r="H96" s="77">
        <v>0</v>
      </c>
      <c r="I96" s="77">
        <v>0</v>
      </c>
      <c r="J96" s="77">
        <v>0</v>
      </c>
      <c r="K96" s="77">
        <v>0</v>
      </c>
      <c r="L96" s="77">
        <v>0</v>
      </c>
      <c r="M96" s="77">
        <v>0</v>
      </c>
      <c r="N96" s="77">
        <v>0</v>
      </c>
      <c r="O96" s="77">
        <v>0</v>
      </c>
      <c r="P96" s="81"/>
      <c r="Q96" s="280">
        <v>0</v>
      </c>
      <c r="R96" s="81">
        <v>0</v>
      </c>
      <c r="S96" s="81">
        <v>0</v>
      </c>
      <c r="T96" s="81">
        <v>0</v>
      </c>
      <c r="U96" s="81">
        <v>0</v>
      </c>
      <c r="V96" s="81">
        <v>0</v>
      </c>
      <c r="W96" s="81">
        <v>0</v>
      </c>
      <c r="X96" s="81">
        <v>0</v>
      </c>
      <c r="Y96" s="81">
        <v>0</v>
      </c>
      <c r="Z96" s="81">
        <v>0</v>
      </c>
      <c r="AA96" s="81">
        <v>0</v>
      </c>
      <c r="AB96" s="81">
        <v>0</v>
      </c>
      <c r="AC96" s="81">
        <v>0</v>
      </c>
      <c r="AD96" s="81">
        <v>0</v>
      </c>
    </row>
    <row r="97" spans="1:30">
      <c r="A97" s="38" t="s">
        <v>94</v>
      </c>
      <c r="B97" s="180">
        <v>0</v>
      </c>
      <c r="C97" s="77">
        <v>0</v>
      </c>
      <c r="D97" s="77">
        <v>0</v>
      </c>
      <c r="E97" s="77">
        <v>0</v>
      </c>
      <c r="F97" s="77">
        <v>0</v>
      </c>
      <c r="G97" s="77">
        <v>0</v>
      </c>
      <c r="H97" s="77">
        <v>0</v>
      </c>
      <c r="I97" s="77">
        <v>0</v>
      </c>
      <c r="J97" s="77">
        <v>0</v>
      </c>
      <c r="K97" s="77">
        <v>0</v>
      </c>
      <c r="L97" s="77">
        <v>0</v>
      </c>
      <c r="M97" s="77">
        <v>0</v>
      </c>
      <c r="N97" s="77">
        <v>0</v>
      </c>
      <c r="O97" s="77">
        <v>0</v>
      </c>
      <c r="P97" s="81"/>
      <c r="Q97" s="280">
        <v>0</v>
      </c>
      <c r="R97" s="81">
        <v>0</v>
      </c>
      <c r="S97" s="81">
        <v>0</v>
      </c>
      <c r="T97" s="81">
        <v>0</v>
      </c>
      <c r="U97" s="81">
        <v>0</v>
      </c>
      <c r="V97" s="81">
        <v>0</v>
      </c>
      <c r="W97" s="81">
        <v>0</v>
      </c>
      <c r="X97" s="81">
        <v>0</v>
      </c>
      <c r="Y97" s="81">
        <v>0</v>
      </c>
      <c r="Z97" s="81">
        <v>0</v>
      </c>
      <c r="AA97" s="81">
        <v>0</v>
      </c>
      <c r="AB97" s="81">
        <v>0</v>
      </c>
      <c r="AC97" s="81">
        <v>0</v>
      </c>
      <c r="AD97" s="81">
        <v>0</v>
      </c>
    </row>
    <row r="98" spans="1:30">
      <c r="A98" s="38" t="s">
        <v>95</v>
      </c>
      <c r="B98" s="180">
        <v>0</v>
      </c>
      <c r="C98" s="77">
        <v>0</v>
      </c>
      <c r="D98" s="77">
        <v>0</v>
      </c>
      <c r="E98" s="77">
        <v>0</v>
      </c>
      <c r="F98" s="77">
        <v>0</v>
      </c>
      <c r="G98" s="77">
        <v>0</v>
      </c>
      <c r="H98" s="77">
        <v>0</v>
      </c>
      <c r="I98" s="77">
        <v>0</v>
      </c>
      <c r="J98" s="77">
        <v>0</v>
      </c>
      <c r="K98" s="77">
        <v>0</v>
      </c>
      <c r="L98" s="77">
        <v>0</v>
      </c>
      <c r="M98" s="77">
        <v>0</v>
      </c>
      <c r="N98" s="77">
        <v>0</v>
      </c>
      <c r="O98" s="77">
        <v>0</v>
      </c>
      <c r="P98" s="81"/>
      <c r="Q98" s="280">
        <v>0</v>
      </c>
      <c r="R98" s="81">
        <v>0</v>
      </c>
      <c r="S98" s="81">
        <v>0</v>
      </c>
      <c r="T98" s="81">
        <v>0</v>
      </c>
      <c r="U98" s="81">
        <v>0</v>
      </c>
      <c r="V98" s="81">
        <v>0</v>
      </c>
      <c r="W98" s="81">
        <v>0</v>
      </c>
      <c r="X98" s="81">
        <v>0</v>
      </c>
      <c r="Y98" s="81">
        <v>0</v>
      </c>
      <c r="Z98" s="81">
        <v>0</v>
      </c>
      <c r="AA98" s="81">
        <v>0</v>
      </c>
      <c r="AB98" s="81">
        <v>0</v>
      </c>
      <c r="AC98" s="81">
        <v>0</v>
      </c>
      <c r="AD98" s="81">
        <v>0</v>
      </c>
    </row>
    <row r="99" spans="1:30">
      <c r="A99" s="19" t="s">
        <v>96</v>
      </c>
      <c r="B99" s="282">
        <v>0</v>
      </c>
      <c r="C99" s="233">
        <v>0</v>
      </c>
      <c r="D99" s="233">
        <v>0</v>
      </c>
      <c r="E99" s="233">
        <v>0</v>
      </c>
      <c r="F99" s="233">
        <v>0</v>
      </c>
      <c r="G99" s="233">
        <v>0</v>
      </c>
      <c r="H99" s="233">
        <v>0</v>
      </c>
      <c r="I99" s="233">
        <v>35.530999999999977</v>
      </c>
      <c r="J99" s="233">
        <v>37.824000000000005</v>
      </c>
      <c r="K99" s="233">
        <v>35.934999999999995</v>
      </c>
      <c r="L99" s="233">
        <v>38.337999999999994</v>
      </c>
      <c r="M99" s="233">
        <v>37.235000000000014</v>
      </c>
      <c r="N99" s="233">
        <v>38.723000000000013</v>
      </c>
      <c r="O99" s="233">
        <v>32.123999999999995</v>
      </c>
      <c r="P99" s="83"/>
      <c r="Q99" s="281">
        <v>0</v>
      </c>
      <c r="R99" s="83">
        <v>0</v>
      </c>
      <c r="S99" s="83">
        <v>0</v>
      </c>
      <c r="T99" s="83">
        <v>0</v>
      </c>
      <c r="U99" s="83">
        <v>0</v>
      </c>
      <c r="V99" s="83">
        <v>0</v>
      </c>
      <c r="W99" s="83">
        <v>0</v>
      </c>
      <c r="X99" s="83">
        <v>109.28999999999998</v>
      </c>
      <c r="Y99" s="83">
        <v>73.759</v>
      </c>
      <c r="Z99" s="83">
        <v>35.934999999999995</v>
      </c>
      <c r="AA99" s="83">
        <v>146.42000000000002</v>
      </c>
      <c r="AB99" s="83">
        <v>108.08200000000002</v>
      </c>
      <c r="AC99" s="83">
        <v>70.847000000000008</v>
      </c>
      <c r="AD99" s="83">
        <v>32.123999999999995</v>
      </c>
    </row>
    <row r="100" spans="1:30">
      <c r="A100" s="38" t="s">
        <v>45</v>
      </c>
      <c r="B100" s="180">
        <v>0</v>
      </c>
      <c r="C100" s="77">
        <v>0</v>
      </c>
      <c r="D100" s="77">
        <v>0</v>
      </c>
      <c r="E100" s="77">
        <v>0</v>
      </c>
      <c r="F100" s="77">
        <v>0</v>
      </c>
      <c r="G100" s="77">
        <v>0</v>
      </c>
      <c r="H100" s="77">
        <v>0</v>
      </c>
      <c r="I100" s="77">
        <v>-5.3296499999999956</v>
      </c>
      <c r="J100" s="77">
        <v>-5.6736000000000013</v>
      </c>
      <c r="K100" s="77">
        <v>-5.3902499999999991</v>
      </c>
      <c r="L100" s="77">
        <v>-4.7922499999999992</v>
      </c>
      <c r="M100" s="77">
        <v>-4.6543750000000017</v>
      </c>
      <c r="N100" s="77">
        <v>-4.8403750000000016</v>
      </c>
      <c r="O100" s="77">
        <v>-4.0154999999999994</v>
      </c>
      <c r="P100" s="81"/>
      <c r="Q100" s="280">
        <v>0</v>
      </c>
      <c r="R100" s="81">
        <v>0</v>
      </c>
      <c r="S100" s="81">
        <v>0</v>
      </c>
      <c r="T100" s="81">
        <v>0</v>
      </c>
      <c r="U100" s="81">
        <v>0</v>
      </c>
      <c r="V100" s="81">
        <v>0</v>
      </c>
      <c r="W100" s="81">
        <v>0</v>
      </c>
      <c r="X100" s="81">
        <v>-16.393499999999996</v>
      </c>
      <c r="Y100" s="81">
        <v>-11.06385</v>
      </c>
      <c r="Z100" s="81">
        <v>-5.3902499999999991</v>
      </c>
      <c r="AA100" s="81">
        <v>-18.302500000000002</v>
      </c>
      <c r="AB100" s="81">
        <v>-13.510250000000003</v>
      </c>
      <c r="AC100" s="81">
        <v>-8.8558750000000011</v>
      </c>
      <c r="AD100" s="81">
        <v>-4.0154999999999994</v>
      </c>
    </row>
    <row r="101" spans="1:30">
      <c r="A101" s="38" t="s">
        <v>97</v>
      </c>
      <c r="B101" s="180">
        <v>0</v>
      </c>
      <c r="C101" s="77">
        <v>0</v>
      </c>
      <c r="D101" s="77">
        <v>0</v>
      </c>
      <c r="E101" s="77">
        <v>0</v>
      </c>
      <c r="F101" s="77">
        <v>0</v>
      </c>
      <c r="G101" s="77">
        <v>0</v>
      </c>
      <c r="H101" s="77">
        <v>0</v>
      </c>
      <c r="I101" s="77">
        <v>0</v>
      </c>
      <c r="J101" s="77">
        <v>0</v>
      </c>
      <c r="K101" s="77">
        <v>0</v>
      </c>
      <c r="L101" s="77">
        <v>0</v>
      </c>
      <c r="M101" s="77">
        <v>0</v>
      </c>
      <c r="N101" s="77">
        <v>0</v>
      </c>
      <c r="O101" s="77">
        <v>0</v>
      </c>
      <c r="P101" s="81"/>
      <c r="Q101" s="280">
        <v>0</v>
      </c>
      <c r="R101" s="81">
        <v>0</v>
      </c>
      <c r="S101" s="81">
        <v>0</v>
      </c>
      <c r="T101" s="81">
        <v>0</v>
      </c>
      <c r="U101" s="81">
        <v>0</v>
      </c>
      <c r="V101" s="81">
        <v>0</v>
      </c>
      <c r="W101" s="81">
        <v>0</v>
      </c>
      <c r="X101" s="81">
        <v>0</v>
      </c>
      <c r="Y101" s="81">
        <v>0</v>
      </c>
      <c r="Z101" s="81">
        <v>0</v>
      </c>
      <c r="AA101" s="81">
        <v>0</v>
      </c>
      <c r="AB101" s="81">
        <v>0</v>
      </c>
      <c r="AC101" s="81">
        <v>0</v>
      </c>
      <c r="AD101" s="81">
        <v>0</v>
      </c>
    </row>
    <row r="102" spans="1:30">
      <c r="A102" s="19" t="s">
        <v>98</v>
      </c>
      <c r="B102" s="282">
        <v>0</v>
      </c>
      <c r="C102" s="233">
        <v>0</v>
      </c>
      <c r="D102" s="233">
        <v>0</v>
      </c>
      <c r="E102" s="233">
        <v>0</v>
      </c>
      <c r="F102" s="233">
        <v>0</v>
      </c>
      <c r="G102" s="233">
        <v>0</v>
      </c>
      <c r="H102" s="233">
        <v>0</v>
      </c>
      <c r="I102" s="233">
        <v>30.201349999999977</v>
      </c>
      <c r="J102" s="233">
        <v>32.150400000000005</v>
      </c>
      <c r="K102" s="233">
        <v>30.544749999999997</v>
      </c>
      <c r="L102" s="233">
        <v>33.545749999999984</v>
      </c>
      <c r="M102" s="233">
        <v>32.580625000000012</v>
      </c>
      <c r="N102" s="233">
        <v>33.882625000000019</v>
      </c>
      <c r="O102" s="233">
        <v>28.108499999999996</v>
      </c>
      <c r="P102" s="83"/>
      <c r="Q102" s="281">
        <v>0</v>
      </c>
      <c r="R102" s="83">
        <v>0</v>
      </c>
      <c r="S102" s="83">
        <v>0</v>
      </c>
      <c r="T102" s="83">
        <v>0</v>
      </c>
      <c r="U102" s="83">
        <v>0</v>
      </c>
      <c r="V102" s="83">
        <v>0</v>
      </c>
      <c r="W102" s="83">
        <v>0</v>
      </c>
      <c r="X102" s="83">
        <v>92.896499999999975</v>
      </c>
      <c r="Y102" s="83">
        <v>62.695149999999998</v>
      </c>
      <c r="Z102" s="83">
        <v>30.544749999999997</v>
      </c>
      <c r="AA102" s="83">
        <v>128.11750000000001</v>
      </c>
      <c r="AB102" s="83">
        <v>94.571750000000023</v>
      </c>
      <c r="AC102" s="83">
        <v>61.991125000000011</v>
      </c>
      <c r="AD102" s="83">
        <v>28.108499999999996</v>
      </c>
    </row>
    <row r="103" spans="1:30">
      <c r="A103" s="24"/>
      <c r="B103" s="24"/>
      <c r="C103" s="24"/>
      <c r="D103" s="24"/>
      <c r="E103" s="24"/>
      <c r="F103" s="24"/>
      <c r="G103" s="24"/>
      <c r="H103" s="24"/>
      <c r="I103" s="24"/>
      <c r="J103" s="24"/>
      <c r="K103" s="24"/>
      <c r="L103" s="24"/>
      <c r="M103" s="24"/>
      <c r="N103" s="24"/>
      <c r="O103" s="24"/>
      <c r="P103" s="86"/>
      <c r="Q103" s="86"/>
      <c r="R103" s="86"/>
      <c r="S103" s="86"/>
      <c r="T103" s="86"/>
      <c r="U103" s="86"/>
      <c r="V103" s="86"/>
      <c r="W103" s="86"/>
      <c r="X103" s="86"/>
      <c r="Y103" s="86"/>
      <c r="Z103" s="86"/>
      <c r="AA103" s="86"/>
      <c r="AB103" s="86"/>
      <c r="AC103" s="86"/>
      <c r="AD103" s="86"/>
    </row>
    <row r="104" spans="1:30">
      <c r="A104" s="19" t="s">
        <v>33</v>
      </c>
      <c r="B104" s="75" t="s">
        <v>552</v>
      </c>
      <c r="C104" s="75" t="s">
        <v>500</v>
      </c>
      <c r="D104" s="75" t="s">
        <v>444</v>
      </c>
      <c r="E104" s="75" t="s">
        <v>441</v>
      </c>
      <c r="F104" s="75" t="s">
        <v>424</v>
      </c>
      <c r="G104" s="75" t="s">
        <v>370</v>
      </c>
      <c r="H104" s="75" t="s">
        <v>364</v>
      </c>
      <c r="I104" s="75" t="s">
        <v>335</v>
      </c>
      <c r="J104" s="75" t="s">
        <v>327</v>
      </c>
      <c r="K104" s="75" t="s">
        <v>320</v>
      </c>
      <c r="L104" s="75" t="s">
        <v>313</v>
      </c>
      <c r="M104" s="75" t="s">
        <v>285</v>
      </c>
      <c r="N104" s="75" t="s">
        <v>278</v>
      </c>
      <c r="O104" s="75" t="s">
        <v>273</v>
      </c>
      <c r="P104" s="75"/>
      <c r="Q104" s="75" t="s">
        <v>553</v>
      </c>
      <c r="R104" s="75" t="s">
        <v>501</v>
      </c>
      <c r="S104" s="75" t="s">
        <v>445</v>
      </c>
      <c r="T104" s="75" t="s">
        <v>442</v>
      </c>
      <c r="U104" s="75" t="s">
        <v>425</v>
      </c>
      <c r="V104" s="75" t="s">
        <v>371</v>
      </c>
      <c r="W104" s="75" t="s">
        <v>365</v>
      </c>
      <c r="X104" s="75" t="s">
        <v>336</v>
      </c>
      <c r="Y104" s="75" t="s">
        <v>328</v>
      </c>
      <c r="Z104" s="75" t="s">
        <v>321</v>
      </c>
      <c r="AA104" s="75" t="s">
        <v>314</v>
      </c>
      <c r="AB104" s="75" t="s">
        <v>286</v>
      </c>
      <c r="AC104" s="75" t="s">
        <v>279</v>
      </c>
      <c r="AD104" s="75" t="s">
        <v>274</v>
      </c>
    </row>
    <row r="105" spans="1:30">
      <c r="A105" s="21" t="s">
        <v>548</v>
      </c>
      <c r="B105" s="21"/>
      <c r="C105" s="21"/>
      <c r="D105" s="21"/>
      <c r="E105" s="21"/>
      <c r="F105" s="21"/>
      <c r="G105" s="21"/>
      <c r="H105" s="21"/>
      <c r="I105" s="21"/>
      <c r="J105" s="21"/>
      <c r="K105" s="21"/>
      <c r="L105" s="21"/>
      <c r="M105" s="21"/>
      <c r="N105" s="21"/>
      <c r="O105" s="21"/>
      <c r="P105" s="85"/>
      <c r="Q105" s="85"/>
      <c r="R105" s="85"/>
      <c r="S105" s="85"/>
      <c r="T105" s="85"/>
      <c r="U105" s="85"/>
      <c r="V105" s="85"/>
      <c r="W105" s="85"/>
      <c r="X105" s="85"/>
      <c r="Y105" s="85"/>
      <c r="Z105" s="85"/>
      <c r="AA105" s="85"/>
      <c r="AB105" s="85"/>
      <c r="AC105" s="85"/>
      <c r="AD105" s="85"/>
    </row>
    <row r="106" spans="1:30">
      <c r="A106" s="38" t="s">
        <v>34</v>
      </c>
      <c r="B106" s="180">
        <v>0</v>
      </c>
      <c r="C106" s="77">
        <v>0</v>
      </c>
      <c r="D106" s="77">
        <v>0</v>
      </c>
      <c r="E106" s="77">
        <v>0</v>
      </c>
      <c r="F106" s="77">
        <v>0</v>
      </c>
      <c r="G106" s="77">
        <v>0</v>
      </c>
      <c r="H106" s="77">
        <v>0</v>
      </c>
      <c r="I106" s="77">
        <v>0</v>
      </c>
      <c r="J106" s="77">
        <v>0</v>
      </c>
      <c r="K106" s="77">
        <v>0</v>
      </c>
      <c r="L106" s="77">
        <v>4.5100000000000016</v>
      </c>
      <c r="M106" s="77">
        <v>4.7590000000000003</v>
      </c>
      <c r="N106" s="77">
        <v>4.3819999999999997</v>
      </c>
      <c r="O106" s="77">
        <v>3.798</v>
      </c>
      <c r="P106" s="81"/>
      <c r="Q106" s="280">
        <v>0</v>
      </c>
      <c r="R106" s="81">
        <v>0</v>
      </c>
      <c r="S106" s="81">
        <v>0</v>
      </c>
      <c r="T106" s="81">
        <v>0</v>
      </c>
      <c r="U106" s="81">
        <v>0</v>
      </c>
      <c r="V106" s="81">
        <v>0</v>
      </c>
      <c r="W106" s="81">
        <v>0</v>
      </c>
      <c r="X106" s="81">
        <v>0</v>
      </c>
      <c r="Y106" s="81">
        <v>0</v>
      </c>
      <c r="Z106" s="81">
        <v>0</v>
      </c>
      <c r="AA106" s="81">
        <v>17.449000000000002</v>
      </c>
      <c r="AB106" s="81">
        <v>12.939</v>
      </c>
      <c r="AC106" s="81">
        <v>8.18</v>
      </c>
      <c r="AD106" s="81">
        <v>3.798</v>
      </c>
    </row>
    <row r="107" spans="1:30">
      <c r="A107" s="38" t="s">
        <v>91</v>
      </c>
      <c r="B107" s="180">
        <v>0</v>
      </c>
      <c r="C107" s="77">
        <v>0</v>
      </c>
      <c r="D107" s="77">
        <v>0</v>
      </c>
      <c r="E107" s="77">
        <v>0</v>
      </c>
      <c r="F107" s="77">
        <v>0</v>
      </c>
      <c r="G107" s="77">
        <v>0</v>
      </c>
      <c r="H107" s="77">
        <v>0</v>
      </c>
      <c r="I107" s="77">
        <v>0</v>
      </c>
      <c r="J107" s="77">
        <v>0</v>
      </c>
      <c r="K107" s="77">
        <v>0</v>
      </c>
      <c r="L107" s="77">
        <v>1.4299999999999997</v>
      </c>
      <c r="M107" s="77">
        <v>1.3730000000000002</v>
      </c>
      <c r="N107" s="77">
        <v>1.2409999999999999</v>
      </c>
      <c r="O107" s="77">
        <v>1.325</v>
      </c>
      <c r="P107" s="81"/>
      <c r="Q107" s="280">
        <v>0</v>
      </c>
      <c r="R107" s="81">
        <v>0</v>
      </c>
      <c r="S107" s="81">
        <v>0</v>
      </c>
      <c r="T107" s="81">
        <v>0</v>
      </c>
      <c r="U107" s="81">
        <v>0</v>
      </c>
      <c r="V107" s="81">
        <v>0</v>
      </c>
      <c r="W107" s="81">
        <v>0</v>
      </c>
      <c r="X107" s="81">
        <v>0</v>
      </c>
      <c r="Y107" s="81">
        <v>0</v>
      </c>
      <c r="Z107" s="81">
        <v>0</v>
      </c>
      <c r="AA107" s="81">
        <v>5.3689999999999998</v>
      </c>
      <c r="AB107" s="81">
        <v>3.9390000000000001</v>
      </c>
      <c r="AC107" s="81">
        <v>2.5659999999999998</v>
      </c>
      <c r="AD107" s="81">
        <v>1.325</v>
      </c>
    </row>
    <row r="108" spans="1:30">
      <c r="A108" s="38" t="s">
        <v>36</v>
      </c>
      <c r="B108" s="180">
        <v>0</v>
      </c>
      <c r="C108" s="77">
        <v>0</v>
      </c>
      <c r="D108" s="77">
        <v>0</v>
      </c>
      <c r="E108" s="77">
        <v>0</v>
      </c>
      <c r="F108" s="77">
        <v>0</v>
      </c>
      <c r="G108" s="77">
        <v>0</v>
      </c>
      <c r="H108" s="77">
        <v>0</v>
      </c>
      <c r="I108" s="77">
        <v>0</v>
      </c>
      <c r="J108" s="77">
        <v>0</v>
      </c>
      <c r="K108" s="77">
        <v>0</v>
      </c>
      <c r="L108" s="77">
        <v>0.14900000000000002</v>
      </c>
      <c r="M108" s="77">
        <v>0.156</v>
      </c>
      <c r="N108" s="77">
        <v>0.112</v>
      </c>
      <c r="O108" s="77">
        <v>0.108</v>
      </c>
      <c r="P108" s="81"/>
      <c r="Q108" s="280">
        <v>0</v>
      </c>
      <c r="R108" s="81">
        <v>0</v>
      </c>
      <c r="S108" s="81">
        <v>0</v>
      </c>
      <c r="T108" s="81">
        <v>0</v>
      </c>
      <c r="U108" s="81">
        <v>0</v>
      </c>
      <c r="V108" s="81">
        <v>0</v>
      </c>
      <c r="W108" s="81">
        <v>0</v>
      </c>
      <c r="X108" s="81">
        <v>0</v>
      </c>
      <c r="Y108" s="81">
        <v>0</v>
      </c>
      <c r="Z108" s="81">
        <v>0</v>
      </c>
      <c r="AA108" s="81">
        <v>0.52500000000000002</v>
      </c>
      <c r="AB108" s="81">
        <v>0.376</v>
      </c>
      <c r="AC108" s="81">
        <v>0.22</v>
      </c>
      <c r="AD108" s="81">
        <v>0.108</v>
      </c>
    </row>
    <row r="109" spans="1:30">
      <c r="A109" s="19" t="s">
        <v>37</v>
      </c>
      <c r="B109" s="282">
        <v>0</v>
      </c>
      <c r="C109" s="233">
        <v>0</v>
      </c>
      <c r="D109" s="233">
        <v>0</v>
      </c>
      <c r="E109" s="233">
        <v>0</v>
      </c>
      <c r="F109" s="233">
        <v>0</v>
      </c>
      <c r="G109" s="233">
        <v>0</v>
      </c>
      <c r="H109" s="233">
        <v>0</v>
      </c>
      <c r="I109" s="233">
        <v>0</v>
      </c>
      <c r="J109" s="233">
        <v>0</v>
      </c>
      <c r="K109" s="233">
        <v>0</v>
      </c>
      <c r="L109" s="233">
        <v>6.0889999999999986</v>
      </c>
      <c r="M109" s="233">
        <v>6.288000000000002</v>
      </c>
      <c r="N109" s="233">
        <v>5.7349999999999994</v>
      </c>
      <c r="O109" s="233">
        <v>5.2309999999999999</v>
      </c>
      <c r="P109" s="83"/>
      <c r="Q109" s="281">
        <v>0</v>
      </c>
      <c r="R109" s="83">
        <v>0</v>
      </c>
      <c r="S109" s="83">
        <v>0</v>
      </c>
      <c r="T109" s="83">
        <v>0</v>
      </c>
      <c r="U109" s="83">
        <v>0</v>
      </c>
      <c r="V109" s="83">
        <v>0</v>
      </c>
      <c r="W109" s="83">
        <v>0</v>
      </c>
      <c r="X109" s="83">
        <v>0</v>
      </c>
      <c r="Y109" s="83">
        <v>0</v>
      </c>
      <c r="Z109" s="83">
        <v>0</v>
      </c>
      <c r="AA109" s="83">
        <v>23.343</v>
      </c>
      <c r="AB109" s="83">
        <v>17.254000000000001</v>
      </c>
      <c r="AC109" s="83">
        <v>10.965999999999999</v>
      </c>
      <c r="AD109" s="83">
        <v>5.2309999999999999</v>
      </c>
    </row>
    <row r="110" spans="1:30">
      <c r="A110" s="19" t="s">
        <v>40</v>
      </c>
      <c r="B110" s="282">
        <v>0</v>
      </c>
      <c r="C110" s="233">
        <v>0</v>
      </c>
      <c r="D110" s="233">
        <v>0</v>
      </c>
      <c r="E110" s="233">
        <v>0</v>
      </c>
      <c r="F110" s="233">
        <v>0</v>
      </c>
      <c r="G110" s="233">
        <v>0</v>
      </c>
      <c r="H110" s="233">
        <v>0</v>
      </c>
      <c r="I110" s="233">
        <v>0</v>
      </c>
      <c r="J110" s="233">
        <v>0</v>
      </c>
      <c r="K110" s="233">
        <v>0</v>
      </c>
      <c r="L110" s="233">
        <v>-2.7030000000000003</v>
      </c>
      <c r="M110" s="233">
        <v>-1.3360000000000003</v>
      </c>
      <c r="N110" s="233">
        <v>-2.161</v>
      </c>
      <c r="O110" s="233">
        <v>-1.956</v>
      </c>
      <c r="P110" s="83"/>
      <c r="Q110" s="281">
        <v>0</v>
      </c>
      <c r="R110" s="83">
        <v>0</v>
      </c>
      <c r="S110" s="83">
        <v>0</v>
      </c>
      <c r="T110" s="83">
        <v>0</v>
      </c>
      <c r="U110" s="83">
        <v>0</v>
      </c>
      <c r="V110" s="83">
        <v>0</v>
      </c>
      <c r="W110" s="83">
        <v>0</v>
      </c>
      <c r="X110" s="83">
        <v>0</v>
      </c>
      <c r="Y110" s="83">
        <v>0</v>
      </c>
      <c r="Z110" s="83">
        <v>0</v>
      </c>
      <c r="AA110" s="83">
        <v>-8.1560000000000006</v>
      </c>
      <c r="AB110" s="83">
        <v>-5.4530000000000003</v>
      </c>
      <c r="AC110" s="83">
        <v>-4.117</v>
      </c>
      <c r="AD110" s="83">
        <v>-1.956</v>
      </c>
    </row>
    <row r="111" spans="1:30">
      <c r="A111" s="19" t="s">
        <v>92</v>
      </c>
      <c r="B111" s="282">
        <v>0</v>
      </c>
      <c r="C111" s="233">
        <v>0</v>
      </c>
      <c r="D111" s="233">
        <v>0</v>
      </c>
      <c r="E111" s="233">
        <v>0</v>
      </c>
      <c r="F111" s="233">
        <v>0</v>
      </c>
      <c r="G111" s="233">
        <v>0</v>
      </c>
      <c r="H111" s="233">
        <v>0</v>
      </c>
      <c r="I111" s="233">
        <v>0</v>
      </c>
      <c r="J111" s="233">
        <v>0</v>
      </c>
      <c r="K111" s="233">
        <v>0</v>
      </c>
      <c r="L111" s="233">
        <v>3.3859999999999975</v>
      </c>
      <c r="M111" s="233">
        <v>4.9520000000000026</v>
      </c>
      <c r="N111" s="233">
        <v>3.5739999999999994</v>
      </c>
      <c r="O111" s="233">
        <v>3.2749999999999999</v>
      </c>
      <c r="P111" s="83"/>
      <c r="Q111" s="281">
        <v>0</v>
      </c>
      <c r="R111" s="83">
        <v>0</v>
      </c>
      <c r="S111" s="83">
        <v>0</v>
      </c>
      <c r="T111" s="83">
        <v>0</v>
      </c>
      <c r="U111" s="83">
        <v>0</v>
      </c>
      <c r="V111" s="83">
        <v>0</v>
      </c>
      <c r="W111" s="83">
        <v>0</v>
      </c>
      <c r="X111" s="83">
        <v>0</v>
      </c>
      <c r="Y111" s="83">
        <v>0</v>
      </c>
      <c r="Z111" s="83">
        <v>0</v>
      </c>
      <c r="AA111" s="83">
        <v>15.186999999999999</v>
      </c>
      <c r="AB111" s="83">
        <v>11.801000000000002</v>
      </c>
      <c r="AC111" s="83">
        <v>6.8489999999999993</v>
      </c>
      <c r="AD111" s="83">
        <v>3.2749999999999999</v>
      </c>
    </row>
    <row r="112" spans="1:30" ht="27" customHeight="1">
      <c r="A112" s="79" t="s">
        <v>507</v>
      </c>
      <c r="B112" s="180">
        <v>0</v>
      </c>
      <c r="C112" s="77">
        <v>0</v>
      </c>
      <c r="D112" s="77">
        <v>0</v>
      </c>
      <c r="E112" s="77">
        <v>0</v>
      </c>
      <c r="F112" s="77">
        <v>0</v>
      </c>
      <c r="G112" s="77">
        <v>0</v>
      </c>
      <c r="H112" s="77">
        <v>0</v>
      </c>
      <c r="I112" s="77">
        <v>0</v>
      </c>
      <c r="J112" s="77">
        <v>0</v>
      </c>
      <c r="K112" s="77">
        <v>0</v>
      </c>
      <c r="L112" s="77">
        <v>9.4E-2</v>
      </c>
      <c r="M112" s="77">
        <v>-0.17199999999999999</v>
      </c>
      <c r="N112" s="77">
        <v>9.4E-2</v>
      </c>
      <c r="O112" s="77">
        <v>-1.4999999999999999E-2</v>
      </c>
      <c r="P112" s="81"/>
      <c r="Q112" s="280">
        <v>0</v>
      </c>
      <c r="R112" s="81">
        <v>0</v>
      </c>
      <c r="S112" s="81">
        <v>0</v>
      </c>
      <c r="T112" s="81">
        <v>0</v>
      </c>
      <c r="U112" s="81">
        <v>0</v>
      </c>
      <c r="V112" s="81">
        <v>0</v>
      </c>
      <c r="W112" s="81">
        <v>0</v>
      </c>
      <c r="X112" s="81">
        <v>0</v>
      </c>
      <c r="Y112" s="81">
        <v>0</v>
      </c>
      <c r="Z112" s="81">
        <v>0</v>
      </c>
      <c r="AA112" s="81">
        <v>1E-3</v>
      </c>
      <c r="AB112" s="81">
        <v>-9.2999999999999999E-2</v>
      </c>
      <c r="AC112" s="81">
        <v>7.9000000000000001E-2</v>
      </c>
      <c r="AD112" s="81">
        <v>-1.4999999999999999E-2</v>
      </c>
    </row>
    <row r="113" spans="1:30">
      <c r="A113" s="38" t="s">
        <v>93</v>
      </c>
      <c r="B113" s="180">
        <v>0</v>
      </c>
      <c r="C113" s="77">
        <v>0</v>
      </c>
      <c r="D113" s="77">
        <v>0</v>
      </c>
      <c r="E113" s="77">
        <v>0</v>
      </c>
      <c r="F113" s="77">
        <v>0</v>
      </c>
      <c r="G113" s="77">
        <v>0</v>
      </c>
      <c r="H113" s="77">
        <v>0</v>
      </c>
      <c r="I113" s="77">
        <v>0</v>
      </c>
      <c r="J113" s="77">
        <v>0</v>
      </c>
      <c r="K113" s="77">
        <v>0</v>
      </c>
      <c r="L113" s="77">
        <v>1.4999999999999999E-2</v>
      </c>
      <c r="M113" s="77">
        <v>1.1000000000000001E-2</v>
      </c>
      <c r="N113" s="77">
        <v>6.0000000000000001E-3</v>
      </c>
      <c r="O113" s="77">
        <v>0</v>
      </c>
      <c r="P113" s="81"/>
      <c r="Q113" s="280">
        <v>0</v>
      </c>
      <c r="R113" s="81">
        <v>0</v>
      </c>
      <c r="S113" s="81">
        <v>0</v>
      </c>
      <c r="T113" s="81">
        <v>0</v>
      </c>
      <c r="U113" s="81">
        <v>0</v>
      </c>
      <c r="V113" s="81">
        <v>0</v>
      </c>
      <c r="W113" s="81">
        <v>0</v>
      </c>
      <c r="X113" s="81">
        <v>0</v>
      </c>
      <c r="Y113" s="81">
        <v>0</v>
      </c>
      <c r="Z113" s="81">
        <v>0</v>
      </c>
      <c r="AA113" s="81">
        <v>3.2000000000000001E-2</v>
      </c>
      <c r="AB113" s="81">
        <v>1.7000000000000001E-2</v>
      </c>
      <c r="AC113" s="81">
        <v>6.0000000000000001E-3</v>
      </c>
      <c r="AD113" s="81">
        <v>0</v>
      </c>
    </row>
    <row r="114" spans="1:30">
      <c r="A114" s="38" t="s">
        <v>94</v>
      </c>
      <c r="B114" s="180">
        <v>0</v>
      </c>
      <c r="C114" s="77">
        <v>0</v>
      </c>
      <c r="D114" s="77">
        <v>0</v>
      </c>
      <c r="E114" s="77">
        <v>0</v>
      </c>
      <c r="F114" s="77">
        <v>0</v>
      </c>
      <c r="G114" s="77">
        <v>0</v>
      </c>
      <c r="H114" s="77">
        <v>0</v>
      </c>
      <c r="I114" s="77">
        <v>0</v>
      </c>
      <c r="J114" s="77">
        <v>0</v>
      </c>
      <c r="K114" s="77">
        <v>0</v>
      </c>
      <c r="L114" s="77">
        <v>0</v>
      </c>
      <c r="M114" s="77">
        <v>0</v>
      </c>
      <c r="N114" s="77">
        <v>0</v>
      </c>
      <c r="O114" s="77">
        <v>0</v>
      </c>
      <c r="P114" s="81"/>
      <c r="Q114" s="280">
        <v>0</v>
      </c>
      <c r="R114" s="81">
        <v>0</v>
      </c>
      <c r="S114" s="81">
        <v>0</v>
      </c>
      <c r="T114" s="81">
        <v>0</v>
      </c>
      <c r="U114" s="81">
        <v>0</v>
      </c>
      <c r="V114" s="81">
        <v>0</v>
      </c>
      <c r="W114" s="81">
        <v>0</v>
      </c>
      <c r="X114" s="81">
        <v>0</v>
      </c>
      <c r="Y114" s="81">
        <v>0</v>
      </c>
      <c r="Z114" s="81">
        <v>0</v>
      </c>
      <c r="AA114" s="81">
        <v>0</v>
      </c>
      <c r="AB114" s="81">
        <v>0</v>
      </c>
      <c r="AC114" s="81">
        <v>0</v>
      </c>
      <c r="AD114" s="81">
        <v>0</v>
      </c>
    </row>
    <row r="115" spans="1:30">
      <c r="A115" s="38" t="s">
        <v>95</v>
      </c>
      <c r="B115" s="180">
        <v>0</v>
      </c>
      <c r="C115" s="77">
        <v>0</v>
      </c>
      <c r="D115" s="77">
        <v>0</v>
      </c>
      <c r="E115" s="77">
        <v>0</v>
      </c>
      <c r="F115" s="77">
        <v>0</v>
      </c>
      <c r="G115" s="77">
        <v>0</v>
      </c>
      <c r="H115" s="77">
        <v>0</v>
      </c>
      <c r="I115" s="77">
        <v>0</v>
      </c>
      <c r="J115" s="77">
        <v>0</v>
      </c>
      <c r="K115" s="77">
        <v>0</v>
      </c>
      <c r="L115" s="77">
        <v>0</v>
      </c>
      <c r="M115" s="77">
        <v>0</v>
      </c>
      <c r="N115" s="77">
        <v>0</v>
      </c>
      <c r="O115" s="77">
        <v>0</v>
      </c>
      <c r="P115" s="81"/>
      <c r="Q115" s="280">
        <v>0</v>
      </c>
      <c r="R115" s="81">
        <v>0</v>
      </c>
      <c r="S115" s="81">
        <v>0</v>
      </c>
      <c r="T115" s="81">
        <v>0</v>
      </c>
      <c r="U115" s="81">
        <v>0</v>
      </c>
      <c r="V115" s="81">
        <v>0</v>
      </c>
      <c r="W115" s="81">
        <v>0</v>
      </c>
      <c r="X115" s="81">
        <v>0</v>
      </c>
      <c r="Y115" s="81">
        <v>0</v>
      </c>
      <c r="Z115" s="81">
        <v>0</v>
      </c>
      <c r="AA115" s="81">
        <v>0</v>
      </c>
      <c r="AB115" s="81">
        <v>0</v>
      </c>
      <c r="AC115" s="81">
        <v>0</v>
      </c>
      <c r="AD115" s="81">
        <v>0</v>
      </c>
    </row>
    <row r="116" spans="1:30">
      <c r="A116" s="19" t="s">
        <v>96</v>
      </c>
      <c r="B116" s="282">
        <v>0</v>
      </c>
      <c r="C116" s="233">
        <v>0</v>
      </c>
      <c r="D116" s="233">
        <v>0</v>
      </c>
      <c r="E116" s="233">
        <v>0</v>
      </c>
      <c r="F116" s="233">
        <v>0</v>
      </c>
      <c r="G116" s="233">
        <v>0</v>
      </c>
      <c r="H116" s="233">
        <v>0</v>
      </c>
      <c r="I116" s="233">
        <v>0</v>
      </c>
      <c r="J116" s="233">
        <v>0</v>
      </c>
      <c r="K116" s="233">
        <v>0</v>
      </c>
      <c r="L116" s="233">
        <v>3.4949999999999974</v>
      </c>
      <c r="M116" s="233">
        <v>4.7910000000000021</v>
      </c>
      <c r="N116" s="233">
        <v>3.6739999999999995</v>
      </c>
      <c r="O116" s="233">
        <v>3.26</v>
      </c>
      <c r="P116" s="83"/>
      <c r="Q116" s="281">
        <v>0</v>
      </c>
      <c r="R116" s="83">
        <v>0</v>
      </c>
      <c r="S116" s="83">
        <v>0</v>
      </c>
      <c r="T116" s="83">
        <v>0</v>
      </c>
      <c r="U116" s="83">
        <v>0</v>
      </c>
      <c r="V116" s="83">
        <v>0</v>
      </c>
      <c r="W116" s="83">
        <v>0</v>
      </c>
      <c r="X116" s="83">
        <v>0</v>
      </c>
      <c r="Y116" s="83">
        <v>0</v>
      </c>
      <c r="Z116" s="83">
        <v>0</v>
      </c>
      <c r="AA116" s="83">
        <v>15.219999999999999</v>
      </c>
      <c r="AB116" s="83">
        <v>11.725000000000001</v>
      </c>
      <c r="AC116" s="83">
        <v>6.9339999999999993</v>
      </c>
      <c r="AD116" s="83">
        <v>3.26</v>
      </c>
    </row>
    <row r="117" spans="1:30">
      <c r="A117" s="38" t="s">
        <v>45</v>
      </c>
      <c r="B117" s="180">
        <v>0</v>
      </c>
      <c r="C117" s="77">
        <v>0</v>
      </c>
      <c r="D117" s="77">
        <v>0</v>
      </c>
      <c r="E117" s="77">
        <v>0</v>
      </c>
      <c r="F117" s="77">
        <v>0</v>
      </c>
      <c r="G117" s="77">
        <v>0</v>
      </c>
      <c r="H117" s="77">
        <v>0</v>
      </c>
      <c r="I117" s="77">
        <v>0</v>
      </c>
      <c r="J117" s="77">
        <v>0</v>
      </c>
      <c r="K117" s="77">
        <v>0</v>
      </c>
      <c r="L117" s="77">
        <v>-0.43687499999999968</v>
      </c>
      <c r="M117" s="77">
        <v>-0.59887500000000027</v>
      </c>
      <c r="N117" s="77">
        <v>-0.45924999999999994</v>
      </c>
      <c r="O117" s="77">
        <v>-0.40749999999999997</v>
      </c>
      <c r="P117" s="81"/>
      <c r="Q117" s="280">
        <v>0</v>
      </c>
      <c r="R117" s="81">
        <v>0</v>
      </c>
      <c r="S117" s="81">
        <v>0</v>
      </c>
      <c r="T117" s="81">
        <v>0</v>
      </c>
      <c r="U117" s="81">
        <v>0</v>
      </c>
      <c r="V117" s="81">
        <v>0</v>
      </c>
      <c r="W117" s="81">
        <v>0</v>
      </c>
      <c r="X117" s="81">
        <v>0</v>
      </c>
      <c r="Y117" s="81">
        <v>0</v>
      </c>
      <c r="Z117" s="81">
        <v>0</v>
      </c>
      <c r="AA117" s="81">
        <v>-1.9024999999999999</v>
      </c>
      <c r="AB117" s="81">
        <v>-1.4656250000000002</v>
      </c>
      <c r="AC117" s="81">
        <v>-0.86674999999999991</v>
      </c>
      <c r="AD117" s="81">
        <v>-0.40749999999999997</v>
      </c>
    </row>
    <row r="118" spans="1:30">
      <c r="A118" s="38" t="s">
        <v>97</v>
      </c>
      <c r="B118" s="180">
        <v>0</v>
      </c>
      <c r="C118" s="77">
        <v>0</v>
      </c>
      <c r="D118" s="77">
        <v>0</v>
      </c>
      <c r="E118" s="77">
        <v>0</v>
      </c>
      <c r="F118" s="77">
        <v>0</v>
      </c>
      <c r="G118" s="77">
        <v>0</v>
      </c>
      <c r="H118" s="77">
        <v>0</v>
      </c>
      <c r="I118" s="77">
        <v>0</v>
      </c>
      <c r="J118" s="77">
        <v>0</v>
      </c>
      <c r="K118" s="77">
        <v>0</v>
      </c>
      <c r="L118" s="77">
        <v>0</v>
      </c>
      <c r="M118" s="77">
        <v>0</v>
      </c>
      <c r="N118" s="77">
        <v>0</v>
      </c>
      <c r="O118" s="77">
        <v>0</v>
      </c>
      <c r="P118" s="81"/>
      <c r="Q118" s="280">
        <v>0</v>
      </c>
      <c r="R118" s="81">
        <v>0</v>
      </c>
      <c r="S118" s="81">
        <v>0</v>
      </c>
      <c r="T118" s="81">
        <v>0</v>
      </c>
      <c r="U118" s="81">
        <v>0</v>
      </c>
      <c r="V118" s="81">
        <v>0</v>
      </c>
      <c r="W118" s="81">
        <v>0</v>
      </c>
      <c r="X118" s="81">
        <v>0</v>
      </c>
      <c r="Y118" s="81">
        <v>0</v>
      </c>
      <c r="Z118" s="81">
        <v>0</v>
      </c>
      <c r="AA118" s="81">
        <v>0</v>
      </c>
      <c r="AB118" s="81">
        <v>0</v>
      </c>
      <c r="AC118" s="81">
        <v>0</v>
      </c>
      <c r="AD118" s="81">
        <v>0</v>
      </c>
    </row>
    <row r="119" spans="1:30">
      <c r="A119" s="19" t="s">
        <v>98</v>
      </c>
      <c r="B119" s="282">
        <v>0</v>
      </c>
      <c r="C119" s="233">
        <v>0</v>
      </c>
      <c r="D119" s="233">
        <v>0</v>
      </c>
      <c r="E119" s="233">
        <v>0</v>
      </c>
      <c r="F119" s="233">
        <v>0</v>
      </c>
      <c r="G119" s="233">
        <v>0</v>
      </c>
      <c r="H119" s="233">
        <v>0</v>
      </c>
      <c r="I119" s="233">
        <v>0</v>
      </c>
      <c r="J119" s="233">
        <v>0</v>
      </c>
      <c r="K119" s="233">
        <v>0</v>
      </c>
      <c r="L119" s="233">
        <v>3.0581249999999969</v>
      </c>
      <c r="M119" s="233">
        <v>4.1921250000000025</v>
      </c>
      <c r="N119" s="233">
        <v>3.2147499999999996</v>
      </c>
      <c r="O119" s="233">
        <v>2.8525</v>
      </c>
      <c r="P119" s="83"/>
      <c r="Q119" s="281">
        <v>0</v>
      </c>
      <c r="R119" s="83">
        <v>0</v>
      </c>
      <c r="S119" s="83">
        <v>0</v>
      </c>
      <c r="T119" s="83">
        <v>0</v>
      </c>
      <c r="U119" s="83">
        <v>0</v>
      </c>
      <c r="V119" s="83">
        <v>0</v>
      </c>
      <c r="W119" s="83">
        <v>0</v>
      </c>
      <c r="X119" s="83">
        <v>0</v>
      </c>
      <c r="Y119" s="83">
        <v>0</v>
      </c>
      <c r="Z119" s="83">
        <v>0</v>
      </c>
      <c r="AA119" s="83">
        <v>13.317499999999999</v>
      </c>
      <c r="AB119" s="83">
        <v>10.259375000000002</v>
      </c>
      <c r="AC119" s="83">
        <v>6.0672499999999996</v>
      </c>
      <c r="AD119" s="83">
        <v>2.8525</v>
      </c>
    </row>
    <row r="120" spans="1:30">
      <c r="A120" s="24"/>
      <c r="B120" s="24"/>
      <c r="C120" s="24"/>
      <c r="D120" s="24"/>
      <c r="E120" s="24"/>
      <c r="F120" s="24"/>
      <c r="G120" s="24"/>
      <c r="H120" s="24"/>
      <c r="I120" s="24"/>
      <c r="J120" s="24"/>
      <c r="K120" s="24"/>
      <c r="L120" s="24"/>
      <c r="M120" s="24"/>
      <c r="N120" s="24"/>
      <c r="O120" s="24"/>
      <c r="P120" s="86"/>
      <c r="Q120" s="86"/>
      <c r="R120" s="86"/>
      <c r="S120" s="86"/>
      <c r="T120" s="86"/>
      <c r="U120" s="86"/>
      <c r="V120" s="86"/>
      <c r="W120" s="86"/>
      <c r="X120" s="86"/>
      <c r="Y120" s="86"/>
      <c r="Z120" s="86"/>
      <c r="AA120" s="86"/>
      <c r="AB120" s="86"/>
      <c r="AC120" s="86"/>
      <c r="AD120" s="86"/>
    </row>
    <row r="121" spans="1:30">
      <c r="A121" s="19" t="s">
        <v>33</v>
      </c>
      <c r="B121" s="75" t="s">
        <v>552</v>
      </c>
      <c r="C121" s="75" t="s">
        <v>500</v>
      </c>
      <c r="D121" s="75" t="s">
        <v>444</v>
      </c>
      <c r="E121" s="75" t="s">
        <v>441</v>
      </c>
      <c r="F121" s="75" t="s">
        <v>424</v>
      </c>
      <c r="G121" s="75" t="s">
        <v>370</v>
      </c>
      <c r="H121" s="75" t="s">
        <v>364</v>
      </c>
      <c r="I121" s="75" t="s">
        <v>335</v>
      </c>
      <c r="J121" s="75" t="s">
        <v>327</v>
      </c>
      <c r="K121" s="75" t="s">
        <v>320</v>
      </c>
      <c r="L121" s="75" t="s">
        <v>313</v>
      </c>
      <c r="M121" s="75" t="s">
        <v>285</v>
      </c>
      <c r="N121" s="75" t="s">
        <v>278</v>
      </c>
      <c r="O121" s="75" t="s">
        <v>273</v>
      </c>
      <c r="P121" s="75"/>
      <c r="Q121" s="75" t="s">
        <v>553</v>
      </c>
      <c r="R121" s="75" t="s">
        <v>501</v>
      </c>
      <c r="S121" s="75" t="s">
        <v>445</v>
      </c>
      <c r="T121" s="75" t="s">
        <v>442</v>
      </c>
      <c r="U121" s="75" t="s">
        <v>425</v>
      </c>
      <c r="V121" s="75" t="s">
        <v>371</v>
      </c>
      <c r="W121" s="75" t="s">
        <v>365</v>
      </c>
      <c r="X121" s="75" t="s">
        <v>336</v>
      </c>
      <c r="Y121" s="75" t="s">
        <v>328</v>
      </c>
      <c r="Z121" s="75" t="s">
        <v>321</v>
      </c>
      <c r="AA121" s="75" t="s">
        <v>314</v>
      </c>
      <c r="AB121" s="75" t="s">
        <v>286</v>
      </c>
      <c r="AC121" s="75" t="s">
        <v>279</v>
      </c>
      <c r="AD121" s="75" t="s">
        <v>274</v>
      </c>
    </row>
    <row r="122" spans="1:30">
      <c r="A122" s="21" t="s">
        <v>100</v>
      </c>
      <c r="B122" s="21"/>
      <c r="C122" s="21"/>
      <c r="D122" s="21"/>
      <c r="E122" s="21"/>
      <c r="F122" s="21"/>
      <c r="G122" s="21"/>
      <c r="H122" s="21"/>
      <c r="I122" s="21"/>
      <c r="J122" s="21"/>
      <c r="K122" s="21"/>
      <c r="L122" s="21"/>
      <c r="M122" s="21"/>
      <c r="N122" s="21"/>
      <c r="O122" s="21"/>
      <c r="P122" s="85"/>
      <c r="Q122" s="85"/>
      <c r="R122" s="85"/>
      <c r="S122" s="85"/>
      <c r="T122" s="85"/>
      <c r="U122" s="85"/>
      <c r="V122" s="85"/>
      <c r="W122" s="85"/>
      <c r="X122" s="85"/>
      <c r="Y122" s="85"/>
      <c r="Z122" s="85"/>
      <c r="AA122" s="85"/>
      <c r="AB122" s="85"/>
      <c r="AC122" s="85"/>
      <c r="AD122" s="85"/>
    </row>
    <row r="123" spans="1:30">
      <c r="A123" s="38" t="s">
        <v>34</v>
      </c>
      <c r="B123" s="180">
        <v>0.85600000000000009</v>
      </c>
      <c r="C123" s="77">
        <v>1.595</v>
      </c>
      <c r="D123" s="77">
        <v>2.5499999999999998</v>
      </c>
      <c r="E123" s="77">
        <v>1.9100000000000001</v>
      </c>
      <c r="F123" s="77">
        <v>2.1329999999999996</v>
      </c>
      <c r="G123" s="77">
        <v>2.93</v>
      </c>
      <c r="H123" s="77">
        <v>3.4809999999999999</v>
      </c>
      <c r="I123" s="77">
        <v>3.120000000000001</v>
      </c>
      <c r="J123" s="77">
        <v>4.077</v>
      </c>
      <c r="K123" s="77">
        <v>3.9780000000000002</v>
      </c>
      <c r="L123" s="77">
        <v>4.0810000000000013</v>
      </c>
      <c r="M123" s="77">
        <v>4.261000000000001</v>
      </c>
      <c r="N123" s="77">
        <v>4.9169999999999998</v>
      </c>
      <c r="O123" s="77">
        <v>4.4429999999999996</v>
      </c>
      <c r="P123" s="81"/>
      <c r="Q123" s="280">
        <v>2.4510000000000001</v>
      </c>
      <c r="R123" s="81">
        <v>1.595</v>
      </c>
      <c r="S123" s="81">
        <v>9.5229999999999997</v>
      </c>
      <c r="T123" s="81">
        <v>6.9729999999999999</v>
      </c>
      <c r="U123" s="81">
        <v>5.0629999999999997</v>
      </c>
      <c r="V123" s="81">
        <v>2.93</v>
      </c>
      <c r="W123" s="81">
        <v>14.656000000000001</v>
      </c>
      <c r="X123" s="81">
        <v>11.175000000000001</v>
      </c>
      <c r="Y123" s="81">
        <v>8.0549999999999997</v>
      </c>
      <c r="Z123" s="81">
        <v>3.9780000000000002</v>
      </c>
      <c r="AA123" s="81">
        <v>17.702000000000002</v>
      </c>
      <c r="AB123" s="81">
        <v>13.621</v>
      </c>
      <c r="AC123" s="81">
        <v>9.36</v>
      </c>
      <c r="AD123" s="81">
        <v>4.4429999999999996</v>
      </c>
    </row>
    <row r="124" spans="1:30">
      <c r="A124" s="38" t="s">
        <v>91</v>
      </c>
      <c r="B124" s="180">
        <v>1.018</v>
      </c>
      <c r="C124" s="77">
        <v>0.79200000000000004</v>
      </c>
      <c r="D124" s="77">
        <v>0.56300000000000017</v>
      </c>
      <c r="E124" s="77">
        <v>0.57199999999999984</v>
      </c>
      <c r="F124" s="77">
        <v>0.52200000000000002</v>
      </c>
      <c r="G124" s="77">
        <v>0.54800000000000004</v>
      </c>
      <c r="H124" s="77">
        <v>0.58099999999999996</v>
      </c>
      <c r="I124" s="77">
        <v>0.63700000000000001</v>
      </c>
      <c r="J124" s="77">
        <v>0.5129999999999999</v>
      </c>
      <c r="K124" s="77">
        <v>0.44700000000000001</v>
      </c>
      <c r="L124" s="77">
        <v>0.92299999999999982</v>
      </c>
      <c r="M124" s="77">
        <v>0.55200000000000005</v>
      </c>
      <c r="N124" s="77">
        <v>0.71099999999999997</v>
      </c>
      <c r="O124" s="77">
        <v>0.65800000000000003</v>
      </c>
      <c r="P124" s="81"/>
      <c r="Q124" s="280">
        <v>1.81</v>
      </c>
      <c r="R124" s="81">
        <v>0.79200000000000004</v>
      </c>
      <c r="S124" s="81">
        <v>2.2050000000000001</v>
      </c>
      <c r="T124" s="81">
        <v>1.6419999999999999</v>
      </c>
      <c r="U124" s="81">
        <v>1.07</v>
      </c>
      <c r="V124" s="81">
        <v>0.54800000000000004</v>
      </c>
      <c r="W124" s="81">
        <v>2.1779999999999999</v>
      </c>
      <c r="X124" s="81">
        <v>1.597</v>
      </c>
      <c r="Y124" s="81">
        <v>0.96</v>
      </c>
      <c r="Z124" s="81">
        <v>0.44700000000000001</v>
      </c>
      <c r="AA124" s="81">
        <v>2.8439999999999999</v>
      </c>
      <c r="AB124" s="81">
        <v>1.921</v>
      </c>
      <c r="AC124" s="81">
        <v>1.369</v>
      </c>
      <c r="AD124" s="81">
        <v>0.65800000000000003</v>
      </c>
    </row>
    <row r="125" spans="1:30">
      <c r="A125" s="38" t="s">
        <v>36</v>
      </c>
      <c r="B125" s="180">
        <v>5.8000000000000003E-2</v>
      </c>
      <c r="C125" s="77">
        <v>5.0000000000000001E-3</v>
      </c>
      <c r="D125" s="77">
        <v>5.000000000000001E-3</v>
      </c>
      <c r="E125" s="77">
        <v>2.0000000000000018E-3</v>
      </c>
      <c r="F125" s="77">
        <v>1.9E-2</v>
      </c>
      <c r="G125" s="77">
        <v>7.0000000000000001E-3</v>
      </c>
      <c r="H125" s="77">
        <v>1.1999999999999997E-2</v>
      </c>
      <c r="I125" s="77">
        <v>8.9999999999999941E-3</v>
      </c>
      <c r="J125" s="77">
        <v>1.4999999999999999E-2</v>
      </c>
      <c r="K125" s="77">
        <v>7.0000000000000007E-2</v>
      </c>
      <c r="L125" s="77">
        <v>-0.16899999999999998</v>
      </c>
      <c r="M125" s="77">
        <v>-1.9000000000000003E-2</v>
      </c>
      <c r="N125" s="77">
        <v>7.3000000000000009E-2</v>
      </c>
      <c r="O125" s="77">
        <v>1.0999999999999999E-2</v>
      </c>
      <c r="P125" s="81"/>
      <c r="Q125" s="280">
        <v>6.3E-2</v>
      </c>
      <c r="R125" s="81">
        <v>5.0000000000000001E-3</v>
      </c>
      <c r="S125" s="81">
        <v>3.3000000000000002E-2</v>
      </c>
      <c r="T125" s="81">
        <v>2.8000000000000001E-2</v>
      </c>
      <c r="U125" s="81">
        <v>2.5999999999999999E-2</v>
      </c>
      <c r="V125" s="81">
        <v>7.0000000000000001E-3</v>
      </c>
      <c r="W125" s="81">
        <v>0.106</v>
      </c>
      <c r="X125" s="81">
        <v>9.4E-2</v>
      </c>
      <c r="Y125" s="81">
        <v>8.5000000000000006E-2</v>
      </c>
      <c r="Z125" s="81">
        <v>7.0000000000000007E-2</v>
      </c>
      <c r="AA125" s="81">
        <v>-0.104</v>
      </c>
      <c r="AB125" s="81">
        <v>6.5000000000000002E-2</v>
      </c>
      <c r="AC125" s="81">
        <v>8.4000000000000005E-2</v>
      </c>
      <c r="AD125" s="81">
        <v>1.0999999999999999E-2</v>
      </c>
    </row>
    <row r="126" spans="1:30">
      <c r="A126" s="19" t="s">
        <v>37</v>
      </c>
      <c r="B126" s="282">
        <v>1.9319999999999999</v>
      </c>
      <c r="C126" s="233">
        <v>2.3919999999999999</v>
      </c>
      <c r="D126" s="233">
        <v>3.1179999999999986</v>
      </c>
      <c r="E126" s="233">
        <v>2.4840000000000009</v>
      </c>
      <c r="F126" s="233">
        <v>2.6739999999999995</v>
      </c>
      <c r="G126" s="233">
        <v>3.4850000000000003</v>
      </c>
      <c r="H126" s="233">
        <v>4.0740000000000016</v>
      </c>
      <c r="I126" s="233">
        <v>3.7659999999999982</v>
      </c>
      <c r="J126" s="233">
        <v>4.6050000000000013</v>
      </c>
      <c r="K126" s="233">
        <v>4.4950000000000001</v>
      </c>
      <c r="L126" s="233">
        <v>4.8350000000000044</v>
      </c>
      <c r="M126" s="233">
        <v>4.7940000000000005</v>
      </c>
      <c r="N126" s="233">
        <v>5.7009999999999987</v>
      </c>
      <c r="O126" s="233">
        <v>5.1120000000000001</v>
      </c>
      <c r="P126" s="83"/>
      <c r="Q126" s="281">
        <v>4.3239999999999998</v>
      </c>
      <c r="R126" s="83">
        <v>2.3919999999999999</v>
      </c>
      <c r="S126" s="83">
        <v>11.760999999999999</v>
      </c>
      <c r="T126" s="83">
        <v>8.6430000000000007</v>
      </c>
      <c r="U126" s="83">
        <v>6.1589999999999998</v>
      </c>
      <c r="V126" s="83">
        <v>3.4850000000000003</v>
      </c>
      <c r="W126" s="83">
        <v>16.940000000000001</v>
      </c>
      <c r="X126" s="83">
        <v>12.866</v>
      </c>
      <c r="Y126" s="83">
        <v>9.1000000000000014</v>
      </c>
      <c r="Z126" s="83">
        <v>4.4950000000000001</v>
      </c>
      <c r="AA126" s="83">
        <v>20.442000000000004</v>
      </c>
      <c r="AB126" s="83">
        <v>15.606999999999999</v>
      </c>
      <c r="AC126" s="83">
        <v>10.812999999999999</v>
      </c>
      <c r="AD126" s="83">
        <v>5.1120000000000001</v>
      </c>
    </row>
    <row r="127" spans="1:30">
      <c r="A127" s="19" t="s">
        <v>40</v>
      </c>
      <c r="B127" s="282">
        <v>-3.14</v>
      </c>
      <c r="C127" s="233">
        <v>-3.5169999999999999</v>
      </c>
      <c r="D127" s="233">
        <v>-4.5710000000000015</v>
      </c>
      <c r="E127" s="233">
        <v>-4.1239999999999988</v>
      </c>
      <c r="F127" s="233">
        <v>-4.3170000000000011</v>
      </c>
      <c r="G127" s="233">
        <v>-4.6109999999999998</v>
      </c>
      <c r="H127" s="233">
        <v>-6.8109999999999999</v>
      </c>
      <c r="I127" s="233">
        <v>-1.9220000000000006</v>
      </c>
      <c r="J127" s="233">
        <v>-4.8939999999999992</v>
      </c>
      <c r="K127" s="233">
        <v>-4.9340000000000002</v>
      </c>
      <c r="L127" s="233">
        <v>-4.0510000000000019</v>
      </c>
      <c r="M127" s="233">
        <v>-5.879999999999999</v>
      </c>
      <c r="N127" s="233">
        <v>-4.6190000000000007</v>
      </c>
      <c r="O127" s="233">
        <v>-5.3579999999999997</v>
      </c>
      <c r="P127" s="83"/>
      <c r="Q127" s="281">
        <v>-6.657</v>
      </c>
      <c r="R127" s="83">
        <v>-3.5169999999999999</v>
      </c>
      <c r="S127" s="83">
        <v>-17.623000000000001</v>
      </c>
      <c r="T127" s="83">
        <v>-13.052</v>
      </c>
      <c r="U127" s="83">
        <v>-8.9280000000000008</v>
      </c>
      <c r="V127" s="83">
        <v>-4.6109999999999998</v>
      </c>
      <c r="W127" s="83">
        <v>-18.561</v>
      </c>
      <c r="X127" s="83">
        <v>-11.75</v>
      </c>
      <c r="Y127" s="83">
        <v>-9.8279999999999994</v>
      </c>
      <c r="Z127" s="83">
        <v>-4.9340000000000002</v>
      </c>
      <c r="AA127" s="83">
        <v>-19.908000000000001</v>
      </c>
      <c r="AB127" s="83">
        <v>-15.856999999999999</v>
      </c>
      <c r="AC127" s="83">
        <v>-9.9770000000000003</v>
      </c>
      <c r="AD127" s="83">
        <v>-5.3579999999999997</v>
      </c>
    </row>
    <row r="128" spans="1:30">
      <c r="A128" s="19" t="s">
        <v>92</v>
      </c>
      <c r="B128" s="282">
        <v>-1.2080000000000002</v>
      </c>
      <c r="C128" s="233">
        <v>-1.125</v>
      </c>
      <c r="D128" s="233">
        <v>-1.453000000000003</v>
      </c>
      <c r="E128" s="233">
        <v>-1.6399999999999979</v>
      </c>
      <c r="F128" s="233">
        <v>-1.6430000000000016</v>
      </c>
      <c r="G128" s="233">
        <v>-1.1259999999999994</v>
      </c>
      <c r="H128" s="233">
        <v>-2.7369999999999983</v>
      </c>
      <c r="I128" s="233">
        <v>1.8439999999999976</v>
      </c>
      <c r="J128" s="233">
        <v>-0.28899999999999793</v>
      </c>
      <c r="K128" s="233">
        <v>-0.43900000000000006</v>
      </c>
      <c r="L128" s="233">
        <v>0.78400000000000247</v>
      </c>
      <c r="M128" s="233">
        <v>-1.0859999999999985</v>
      </c>
      <c r="N128" s="233">
        <v>1.0819999999999981</v>
      </c>
      <c r="O128" s="233">
        <v>-0.24599999999999955</v>
      </c>
      <c r="P128" s="83"/>
      <c r="Q128" s="281">
        <v>-2.3330000000000002</v>
      </c>
      <c r="R128" s="83">
        <v>-1.125</v>
      </c>
      <c r="S128" s="83">
        <v>-5.8620000000000019</v>
      </c>
      <c r="T128" s="83">
        <v>-4.4089999999999989</v>
      </c>
      <c r="U128" s="83">
        <v>-2.769000000000001</v>
      </c>
      <c r="V128" s="83">
        <v>-1.1259999999999994</v>
      </c>
      <c r="W128" s="83">
        <v>-1.6209999999999987</v>
      </c>
      <c r="X128" s="83">
        <v>1.1159999999999997</v>
      </c>
      <c r="Y128" s="83">
        <v>-0.72799999999999798</v>
      </c>
      <c r="Z128" s="83">
        <v>-0.43900000000000006</v>
      </c>
      <c r="AA128" s="83">
        <v>0.53400000000000247</v>
      </c>
      <c r="AB128" s="83">
        <v>-0.25</v>
      </c>
      <c r="AC128" s="83">
        <v>0.83599999999999852</v>
      </c>
      <c r="AD128" s="83">
        <v>-0.24599999999999955</v>
      </c>
    </row>
    <row r="129" spans="1:30" ht="28.5" customHeight="1">
      <c r="A129" s="79" t="s">
        <v>507</v>
      </c>
      <c r="B129" s="180">
        <v>-2.2539999999999996</v>
      </c>
      <c r="C129" s="77">
        <v>2.5299999999999998</v>
      </c>
      <c r="D129" s="77">
        <v>1.7759999999999998</v>
      </c>
      <c r="E129" s="77">
        <v>3.8770000000000002</v>
      </c>
      <c r="F129" s="77">
        <v>1.5009999999999999</v>
      </c>
      <c r="G129" s="77">
        <v>-0.99399999999999999</v>
      </c>
      <c r="H129" s="77">
        <v>-6.6080000000000005</v>
      </c>
      <c r="I129" s="77">
        <v>0.84600000000000009</v>
      </c>
      <c r="J129" s="77">
        <v>-1.4269999999999996</v>
      </c>
      <c r="K129" s="77">
        <v>-11.832000000000001</v>
      </c>
      <c r="L129" s="77">
        <v>-4.74</v>
      </c>
      <c r="M129" s="77">
        <v>0.82099999999999973</v>
      </c>
      <c r="N129" s="77">
        <v>-2.427999999999999</v>
      </c>
      <c r="O129" s="77">
        <v>-12.563000000000001</v>
      </c>
      <c r="P129" s="81"/>
      <c r="Q129" s="280">
        <v>0.27600000000000002</v>
      </c>
      <c r="R129" s="81">
        <v>2.5299999999999998</v>
      </c>
      <c r="S129" s="81">
        <v>6.16</v>
      </c>
      <c r="T129" s="81">
        <v>4.3840000000000003</v>
      </c>
      <c r="U129" s="81">
        <v>0.50700000000000001</v>
      </c>
      <c r="V129" s="81">
        <v>-0.99399999999999999</v>
      </c>
      <c r="W129" s="81">
        <v>-19.021000000000001</v>
      </c>
      <c r="X129" s="81">
        <v>-12.413</v>
      </c>
      <c r="Y129" s="81">
        <v>-13.259</v>
      </c>
      <c r="Z129" s="81">
        <v>-11.832000000000001</v>
      </c>
      <c r="AA129" s="81">
        <v>-18.91</v>
      </c>
      <c r="AB129" s="81">
        <v>-14.17</v>
      </c>
      <c r="AC129" s="81">
        <v>-14.991</v>
      </c>
      <c r="AD129" s="81">
        <v>-12.563000000000001</v>
      </c>
    </row>
    <row r="130" spans="1:30">
      <c r="A130" s="38" t="s">
        <v>93</v>
      </c>
      <c r="B130" s="180">
        <v>0</v>
      </c>
      <c r="C130" s="77">
        <v>0</v>
      </c>
      <c r="D130" s="77">
        <v>0</v>
      </c>
      <c r="E130" s="77">
        <v>0</v>
      </c>
      <c r="F130" s="77">
        <v>0</v>
      </c>
      <c r="G130" s="77">
        <v>0</v>
      </c>
      <c r="H130" s="77">
        <v>0</v>
      </c>
      <c r="I130" s="77">
        <v>0</v>
      </c>
      <c r="J130" s="77">
        <v>0</v>
      </c>
      <c r="K130" s="77">
        <v>0</v>
      </c>
      <c r="L130" s="77">
        <v>0</v>
      </c>
      <c r="M130" s="77">
        <v>0</v>
      </c>
      <c r="N130" s="77">
        <v>0</v>
      </c>
      <c r="O130" s="77">
        <v>0</v>
      </c>
      <c r="P130" s="81"/>
      <c r="Q130" s="280">
        <v>0</v>
      </c>
      <c r="R130" s="81">
        <v>0</v>
      </c>
      <c r="S130" s="81">
        <v>0</v>
      </c>
      <c r="T130" s="81">
        <v>0</v>
      </c>
      <c r="U130" s="81">
        <v>0</v>
      </c>
      <c r="V130" s="81">
        <v>0</v>
      </c>
      <c r="W130" s="81">
        <v>0</v>
      </c>
      <c r="X130" s="81">
        <v>0</v>
      </c>
      <c r="Y130" s="81">
        <v>0</v>
      </c>
      <c r="Z130" s="81">
        <v>0</v>
      </c>
      <c r="AA130" s="81">
        <v>0</v>
      </c>
      <c r="AB130" s="81">
        <v>0</v>
      </c>
      <c r="AC130" s="81">
        <v>0</v>
      </c>
      <c r="AD130" s="81">
        <v>0</v>
      </c>
    </row>
    <row r="131" spans="1:30">
      <c r="A131" s="38" t="s">
        <v>94</v>
      </c>
      <c r="B131" s="180">
        <v>0</v>
      </c>
      <c r="C131" s="77">
        <v>0</v>
      </c>
      <c r="D131" s="77">
        <v>0</v>
      </c>
      <c r="E131" s="77">
        <v>0</v>
      </c>
      <c r="F131" s="77">
        <v>0</v>
      </c>
      <c r="G131" s="77">
        <v>0</v>
      </c>
      <c r="H131" s="77">
        <v>13.651</v>
      </c>
      <c r="I131" s="77">
        <v>0</v>
      </c>
      <c r="J131" s="77">
        <v>0</v>
      </c>
      <c r="K131" s="77">
        <v>0</v>
      </c>
      <c r="L131" s="77">
        <v>0</v>
      </c>
      <c r="M131" s="77">
        <v>0</v>
      </c>
      <c r="N131" s="77">
        <v>0</v>
      </c>
      <c r="O131" s="77">
        <v>0</v>
      </c>
      <c r="P131" s="81"/>
      <c r="Q131" s="280">
        <v>0</v>
      </c>
      <c r="R131" s="81">
        <v>0</v>
      </c>
      <c r="S131" s="81">
        <v>0</v>
      </c>
      <c r="T131" s="81">
        <v>0</v>
      </c>
      <c r="U131" s="81">
        <v>0</v>
      </c>
      <c r="V131" s="81">
        <v>0</v>
      </c>
      <c r="W131" s="81">
        <v>13.651</v>
      </c>
      <c r="X131" s="81">
        <v>0</v>
      </c>
      <c r="Y131" s="81">
        <v>0</v>
      </c>
      <c r="Z131" s="81">
        <v>0</v>
      </c>
      <c r="AA131" s="81">
        <v>0</v>
      </c>
      <c r="AB131" s="81">
        <v>0</v>
      </c>
      <c r="AC131" s="81">
        <v>0</v>
      </c>
      <c r="AD131" s="81">
        <v>0</v>
      </c>
    </row>
    <row r="132" spans="1:30">
      <c r="A132" s="38" t="s">
        <v>95</v>
      </c>
      <c r="B132" s="180">
        <v>0</v>
      </c>
      <c r="C132" s="77">
        <v>0</v>
      </c>
      <c r="D132" s="77">
        <v>0</v>
      </c>
      <c r="E132" s="77">
        <v>0</v>
      </c>
      <c r="F132" s="77">
        <v>0</v>
      </c>
      <c r="G132" s="77">
        <v>0</v>
      </c>
      <c r="H132" s="77">
        <v>0</v>
      </c>
      <c r="I132" s="77">
        <v>0</v>
      </c>
      <c r="J132" s="77">
        <v>0</v>
      </c>
      <c r="K132" s="77">
        <v>0</v>
      </c>
      <c r="L132" s="77">
        <v>0</v>
      </c>
      <c r="M132" s="77">
        <v>0</v>
      </c>
      <c r="N132" s="77">
        <v>0</v>
      </c>
      <c r="O132" s="77">
        <v>0</v>
      </c>
      <c r="P132" s="81"/>
      <c r="Q132" s="280">
        <v>0</v>
      </c>
      <c r="R132" s="81">
        <v>0</v>
      </c>
      <c r="S132" s="81">
        <v>0</v>
      </c>
      <c r="T132" s="81">
        <v>0</v>
      </c>
      <c r="U132" s="81">
        <v>0</v>
      </c>
      <c r="V132" s="81">
        <v>0</v>
      </c>
      <c r="W132" s="81">
        <v>0</v>
      </c>
      <c r="X132" s="81">
        <v>0</v>
      </c>
      <c r="Y132" s="81">
        <v>0</v>
      </c>
      <c r="Z132" s="81">
        <v>0</v>
      </c>
      <c r="AA132" s="81">
        <v>0</v>
      </c>
      <c r="AB132" s="81">
        <v>0</v>
      </c>
      <c r="AC132" s="81">
        <v>0</v>
      </c>
      <c r="AD132" s="81">
        <v>0</v>
      </c>
    </row>
    <row r="133" spans="1:30">
      <c r="A133" s="19" t="s">
        <v>96</v>
      </c>
      <c r="B133" s="282">
        <v>-3.4620000000000002</v>
      </c>
      <c r="C133" s="233">
        <v>1.4049999999999998</v>
      </c>
      <c r="D133" s="233">
        <v>0.32299999999999685</v>
      </c>
      <c r="E133" s="233">
        <v>2.2370000000000023</v>
      </c>
      <c r="F133" s="233">
        <v>-0.14200000000000168</v>
      </c>
      <c r="G133" s="233">
        <v>-2.1199999999999992</v>
      </c>
      <c r="H133" s="233">
        <v>4.3060000000000009</v>
      </c>
      <c r="I133" s="233">
        <v>2.6899999999999977</v>
      </c>
      <c r="J133" s="233">
        <v>-1.7159999999999975</v>
      </c>
      <c r="K133" s="233">
        <v>-12.271000000000001</v>
      </c>
      <c r="L133" s="233">
        <v>-3.9559999999999977</v>
      </c>
      <c r="M133" s="233">
        <v>-0.26499999999999879</v>
      </c>
      <c r="N133" s="233">
        <v>-1.3460000000000001</v>
      </c>
      <c r="O133" s="233">
        <v>-12.809000000000001</v>
      </c>
      <c r="P133" s="83"/>
      <c r="Q133" s="281">
        <v>-2.0570000000000004</v>
      </c>
      <c r="R133" s="83">
        <v>1.4049999999999998</v>
      </c>
      <c r="S133" s="83">
        <v>0.29799999999999827</v>
      </c>
      <c r="T133" s="83">
        <v>-2.4999999999998579E-2</v>
      </c>
      <c r="U133" s="83">
        <v>-2.2620000000000009</v>
      </c>
      <c r="V133" s="83">
        <v>-2.1199999999999992</v>
      </c>
      <c r="W133" s="83">
        <v>-6.9909999999999997</v>
      </c>
      <c r="X133" s="83">
        <v>-11.297000000000001</v>
      </c>
      <c r="Y133" s="83">
        <v>-13.986999999999998</v>
      </c>
      <c r="Z133" s="83">
        <v>-12.271000000000001</v>
      </c>
      <c r="AA133" s="83">
        <v>-18.375999999999998</v>
      </c>
      <c r="AB133" s="83">
        <v>-14.42</v>
      </c>
      <c r="AC133" s="83">
        <v>-14.155000000000001</v>
      </c>
      <c r="AD133" s="83">
        <v>-12.809000000000001</v>
      </c>
    </row>
    <row r="134" spans="1:30">
      <c r="A134" s="38" t="s">
        <v>45</v>
      </c>
      <c r="B134" s="180">
        <v>0.52</v>
      </c>
      <c r="C134" s="77">
        <v>-0.21099999999999999</v>
      </c>
      <c r="D134" s="77">
        <v>-0.20412499999999983</v>
      </c>
      <c r="E134" s="77">
        <v>-0.27962500000000029</v>
      </c>
      <c r="F134" s="77">
        <v>1.775000000000021E-2</v>
      </c>
      <c r="G134" s="77">
        <v>0.2649999999999999</v>
      </c>
      <c r="H134" s="77">
        <v>-0.82067500000000004</v>
      </c>
      <c r="I134" s="77">
        <v>-0.40349999999999975</v>
      </c>
      <c r="J134" s="77">
        <v>0.25739999999999963</v>
      </c>
      <c r="K134" s="77">
        <v>1.8406500000000001</v>
      </c>
      <c r="L134" s="77">
        <v>0.49449999999999972</v>
      </c>
      <c r="M134" s="77">
        <v>3.3124999999999849E-2</v>
      </c>
      <c r="N134" s="77">
        <v>0.16825000000000001</v>
      </c>
      <c r="O134" s="77">
        <v>1.6011250000000001</v>
      </c>
      <c r="P134" s="81"/>
      <c r="Q134" s="280">
        <v>0.309</v>
      </c>
      <c r="R134" s="81">
        <v>-0.21099999999999999</v>
      </c>
      <c r="S134" s="81">
        <v>-0.20100000000000001</v>
      </c>
      <c r="T134" s="81">
        <v>3.1249999999998224E-3</v>
      </c>
      <c r="U134" s="81">
        <v>0.28275000000000011</v>
      </c>
      <c r="V134" s="81">
        <v>0.2649999999999999</v>
      </c>
      <c r="W134" s="81">
        <v>0.87387499999999996</v>
      </c>
      <c r="X134" s="81">
        <v>1.69455</v>
      </c>
      <c r="Y134" s="81">
        <v>2.0980499999999997</v>
      </c>
      <c r="Z134" s="81">
        <v>1.8406500000000001</v>
      </c>
      <c r="AA134" s="81">
        <v>2.2969999999999997</v>
      </c>
      <c r="AB134" s="81">
        <v>1.8025</v>
      </c>
      <c r="AC134" s="81">
        <v>1.7693750000000001</v>
      </c>
      <c r="AD134" s="81">
        <v>1.6011250000000001</v>
      </c>
    </row>
    <row r="135" spans="1:30">
      <c r="A135" s="38" t="s">
        <v>97</v>
      </c>
      <c r="B135" s="180">
        <v>0</v>
      </c>
      <c r="C135" s="77">
        <v>0</v>
      </c>
      <c r="D135" s="77">
        <v>0</v>
      </c>
      <c r="E135" s="77">
        <v>0</v>
      </c>
      <c r="F135" s="77">
        <v>0</v>
      </c>
      <c r="G135" s="77">
        <v>0</v>
      </c>
      <c r="H135" s="77">
        <v>0</v>
      </c>
      <c r="I135" s="77">
        <v>0</v>
      </c>
      <c r="J135" s="77">
        <v>0</v>
      </c>
      <c r="K135" s="77">
        <v>0</v>
      </c>
      <c r="L135" s="77">
        <v>0</v>
      </c>
      <c r="M135" s="77">
        <v>0</v>
      </c>
      <c r="N135" s="77">
        <v>0</v>
      </c>
      <c r="O135" s="77">
        <v>0</v>
      </c>
      <c r="P135" s="81"/>
      <c r="Q135" s="280">
        <v>0</v>
      </c>
      <c r="R135" s="81">
        <v>0</v>
      </c>
      <c r="S135" s="81">
        <v>0</v>
      </c>
      <c r="T135" s="81">
        <v>0</v>
      </c>
      <c r="U135" s="81">
        <v>0</v>
      </c>
      <c r="V135" s="81">
        <v>0</v>
      </c>
      <c r="W135" s="81">
        <v>0</v>
      </c>
      <c r="X135" s="81">
        <v>0</v>
      </c>
      <c r="Y135" s="81">
        <v>0</v>
      </c>
      <c r="Z135" s="81">
        <v>0</v>
      </c>
      <c r="AA135" s="81">
        <v>0</v>
      </c>
      <c r="AB135" s="81">
        <v>0</v>
      </c>
      <c r="AC135" s="81">
        <v>0</v>
      </c>
      <c r="AD135" s="81">
        <v>0</v>
      </c>
    </row>
    <row r="136" spans="1:30">
      <c r="A136" s="19" t="s">
        <v>98</v>
      </c>
      <c r="B136" s="282">
        <v>-2.9420000000000002</v>
      </c>
      <c r="C136" s="233">
        <v>1.1939999999999997</v>
      </c>
      <c r="D136" s="233">
        <v>0.11887499999999701</v>
      </c>
      <c r="E136" s="233">
        <v>1.9573750000000021</v>
      </c>
      <c r="F136" s="233">
        <v>-0.12425000000000153</v>
      </c>
      <c r="G136" s="233">
        <v>-1.8549999999999993</v>
      </c>
      <c r="H136" s="233">
        <v>3.4853250000000013</v>
      </c>
      <c r="I136" s="233">
        <v>2.2864999999999966</v>
      </c>
      <c r="J136" s="233">
        <v>-1.458599999999997</v>
      </c>
      <c r="K136" s="233">
        <v>-10.430350000000001</v>
      </c>
      <c r="L136" s="233">
        <v>-3.4614999999999974</v>
      </c>
      <c r="M136" s="233">
        <v>-0.23187499999999872</v>
      </c>
      <c r="N136" s="233">
        <v>-1.1777499999999996</v>
      </c>
      <c r="O136" s="233">
        <v>-11.207875000000001</v>
      </c>
      <c r="P136" s="83"/>
      <c r="Q136" s="281">
        <v>-1.7480000000000004</v>
      </c>
      <c r="R136" s="83">
        <v>1.1939999999999997</v>
      </c>
      <c r="S136" s="83">
        <v>9.6999999999998254E-2</v>
      </c>
      <c r="T136" s="83">
        <v>-2.1874999999998757E-2</v>
      </c>
      <c r="U136" s="83">
        <v>-1.9792500000000008</v>
      </c>
      <c r="V136" s="83">
        <v>-1.8549999999999993</v>
      </c>
      <c r="W136" s="83">
        <v>-6.1171249999999997</v>
      </c>
      <c r="X136" s="83">
        <v>-9.602450000000001</v>
      </c>
      <c r="Y136" s="83">
        <v>-11.888949999999998</v>
      </c>
      <c r="Z136" s="83">
        <v>-10.430350000000001</v>
      </c>
      <c r="AA136" s="83">
        <v>-16.078999999999997</v>
      </c>
      <c r="AB136" s="83">
        <v>-12.6175</v>
      </c>
      <c r="AC136" s="83">
        <v>-12.385625000000001</v>
      </c>
      <c r="AD136" s="83">
        <v>-11.207875000000001</v>
      </c>
    </row>
    <row r="137" spans="1:30">
      <c r="A137" s="24"/>
      <c r="B137" s="24"/>
      <c r="C137" s="24"/>
      <c r="D137" s="24"/>
      <c r="E137" s="24"/>
      <c r="F137" s="24"/>
      <c r="G137" s="24"/>
      <c r="H137" s="24"/>
      <c r="I137" s="24"/>
      <c r="J137" s="24"/>
      <c r="K137" s="24"/>
      <c r="L137" s="24"/>
      <c r="M137" s="24"/>
      <c r="N137" s="24"/>
      <c r="O137" s="24"/>
      <c r="P137" s="86"/>
      <c r="Q137" s="125"/>
      <c r="R137" s="125"/>
      <c r="S137" s="125"/>
      <c r="T137" s="125"/>
      <c r="U137" s="125"/>
      <c r="V137" s="125"/>
      <c r="W137" s="125"/>
      <c r="X137" s="125"/>
      <c r="Y137" s="125"/>
      <c r="Z137" s="125"/>
      <c r="AA137" s="125"/>
      <c r="AB137" s="125"/>
      <c r="AC137" s="125"/>
      <c r="AD137" s="125"/>
    </row>
    <row r="138" spans="1:30">
      <c r="A138" s="19" t="s">
        <v>33</v>
      </c>
      <c r="B138" s="75" t="s">
        <v>552</v>
      </c>
      <c r="C138" s="75" t="s">
        <v>500</v>
      </c>
      <c r="D138" s="75" t="s">
        <v>444</v>
      </c>
      <c r="E138" s="75" t="s">
        <v>441</v>
      </c>
      <c r="F138" s="75" t="s">
        <v>424</v>
      </c>
      <c r="G138" s="75" t="s">
        <v>370</v>
      </c>
      <c r="H138" s="75" t="s">
        <v>364</v>
      </c>
      <c r="I138" s="75" t="s">
        <v>335</v>
      </c>
      <c r="J138" s="75" t="s">
        <v>327</v>
      </c>
      <c r="K138" s="75" t="s">
        <v>320</v>
      </c>
      <c r="L138" s="75" t="s">
        <v>313</v>
      </c>
      <c r="M138" s="75" t="s">
        <v>285</v>
      </c>
      <c r="N138" s="75" t="s">
        <v>278</v>
      </c>
      <c r="O138" s="75" t="s">
        <v>273</v>
      </c>
      <c r="P138" s="75"/>
      <c r="Q138" s="75" t="s">
        <v>553</v>
      </c>
      <c r="R138" s="75" t="s">
        <v>501</v>
      </c>
      <c r="S138" s="75" t="s">
        <v>445</v>
      </c>
      <c r="T138" s="75" t="s">
        <v>442</v>
      </c>
      <c r="U138" s="75" t="s">
        <v>425</v>
      </c>
      <c r="V138" s="75" t="s">
        <v>371</v>
      </c>
      <c r="W138" s="75" t="s">
        <v>365</v>
      </c>
      <c r="X138" s="75" t="s">
        <v>336</v>
      </c>
      <c r="Y138" s="75" t="s">
        <v>328</v>
      </c>
      <c r="Z138" s="75" t="s">
        <v>321</v>
      </c>
      <c r="AA138" s="75" t="s">
        <v>314</v>
      </c>
      <c r="AB138" s="75" t="s">
        <v>286</v>
      </c>
      <c r="AC138" s="75" t="s">
        <v>279</v>
      </c>
      <c r="AD138" s="75" t="s">
        <v>274</v>
      </c>
    </row>
    <row r="139" spans="1:30">
      <c r="A139" s="21" t="s">
        <v>13</v>
      </c>
      <c r="B139" s="21"/>
      <c r="C139" s="21"/>
      <c r="D139" s="21"/>
      <c r="E139" s="21"/>
      <c r="F139" s="21"/>
      <c r="G139" s="21"/>
      <c r="H139" s="21"/>
      <c r="I139" s="21"/>
      <c r="J139" s="21"/>
      <c r="K139" s="21"/>
      <c r="L139" s="21"/>
      <c r="M139" s="21"/>
      <c r="N139" s="21"/>
      <c r="O139" s="21"/>
      <c r="P139" s="85"/>
      <c r="Q139" s="85"/>
      <c r="R139" s="85"/>
      <c r="S139" s="85"/>
      <c r="T139" s="85"/>
      <c r="U139" s="85"/>
      <c r="V139" s="85"/>
      <c r="W139" s="85"/>
      <c r="X139" s="85"/>
      <c r="Y139" s="85"/>
      <c r="Z139" s="85"/>
      <c r="AA139" s="85"/>
      <c r="AB139" s="85"/>
      <c r="AC139" s="85"/>
      <c r="AD139" s="85"/>
    </row>
    <row r="140" spans="1:30">
      <c r="A140" s="38" t="s">
        <v>34</v>
      </c>
      <c r="B140" s="180">
        <v>0</v>
      </c>
      <c r="C140" s="77">
        <v>-3.1219999999999999</v>
      </c>
      <c r="D140" s="77">
        <v>-2.4510000000000005</v>
      </c>
      <c r="E140" s="77">
        <v>-2.7780000000000005</v>
      </c>
      <c r="F140" s="77">
        <v>-1.9279999999999999</v>
      </c>
      <c r="G140" s="77">
        <v>-2.5979999999999999</v>
      </c>
      <c r="H140" s="77">
        <v>-3.4110000000000014</v>
      </c>
      <c r="I140" s="77">
        <v>-5.7749999999999986</v>
      </c>
      <c r="J140" s="77">
        <v>-6.636000000000001</v>
      </c>
      <c r="K140" s="77">
        <v>-7.0679999999999996</v>
      </c>
      <c r="L140" s="77">
        <v>-7.1609999999999978</v>
      </c>
      <c r="M140" s="77">
        <v>-7.8679999999999986</v>
      </c>
      <c r="N140" s="77">
        <v>-9.338000000000001</v>
      </c>
      <c r="O140" s="77">
        <v>-10.012</v>
      </c>
      <c r="P140" s="81"/>
      <c r="Q140" s="280">
        <v>-3.1219999999999999</v>
      </c>
      <c r="R140" s="280">
        <v>-3.1219999999999999</v>
      </c>
      <c r="S140" s="81">
        <v>-9.7550000000000008</v>
      </c>
      <c r="T140" s="81">
        <v>-7.3040000000000003</v>
      </c>
      <c r="U140" s="81">
        <v>-4.5259999999999998</v>
      </c>
      <c r="V140" s="81">
        <v>-2.5979999999999999</v>
      </c>
      <c r="W140" s="81">
        <v>-22.89</v>
      </c>
      <c r="X140" s="81">
        <v>-19.478999999999999</v>
      </c>
      <c r="Y140" s="81">
        <v>-13.704000000000001</v>
      </c>
      <c r="Z140" s="81">
        <v>-7.0679999999999996</v>
      </c>
      <c r="AA140" s="81">
        <v>-34.378999999999998</v>
      </c>
      <c r="AB140" s="81">
        <v>-27.218</v>
      </c>
      <c r="AC140" s="81">
        <v>-19.350000000000001</v>
      </c>
      <c r="AD140" s="81">
        <v>-10.012</v>
      </c>
    </row>
    <row r="141" spans="1:30">
      <c r="A141" s="38" t="s">
        <v>91</v>
      </c>
      <c r="B141" s="180">
        <v>-1.9E-2</v>
      </c>
      <c r="C141" s="77">
        <v>-0.02</v>
      </c>
      <c r="D141" s="77">
        <v>-1.8000000000000002E-2</v>
      </c>
      <c r="E141" s="77">
        <v>-1.1999999999999997E-2</v>
      </c>
      <c r="F141" s="77">
        <v>-1.4000000000000002E-2</v>
      </c>
      <c r="G141" s="77">
        <v>-0.02</v>
      </c>
      <c r="H141" s="77">
        <v>-1.6E-2</v>
      </c>
      <c r="I141" s="77">
        <v>-2.2000000000000006E-2</v>
      </c>
      <c r="J141" s="77">
        <v>-1.8000000000000002E-2</v>
      </c>
      <c r="K141" s="77">
        <v>-4.2999999999999997E-2</v>
      </c>
      <c r="L141" s="77">
        <v>-0.109</v>
      </c>
      <c r="M141" s="77">
        <v>-2.7999999999999997E-2</v>
      </c>
      <c r="N141" s="77">
        <v>-3.3999999999999996E-2</v>
      </c>
      <c r="O141" s="77">
        <v>-4.1000000000000002E-2</v>
      </c>
      <c r="P141" s="81"/>
      <c r="Q141" s="280">
        <v>-3.9E-2</v>
      </c>
      <c r="R141" s="81">
        <v>-0.02</v>
      </c>
      <c r="S141" s="81">
        <v>-6.4000000000000001E-2</v>
      </c>
      <c r="T141" s="81">
        <v>-4.5999999999999999E-2</v>
      </c>
      <c r="U141" s="81">
        <v>-3.4000000000000002E-2</v>
      </c>
      <c r="V141" s="81">
        <v>-0.02</v>
      </c>
      <c r="W141" s="81">
        <v>-9.9000000000000005E-2</v>
      </c>
      <c r="X141" s="81">
        <v>-8.3000000000000004E-2</v>
      </c>
      <c r="Y141" s="81">
        <v>-6.0999999999999999E-2</v>
      </c>
      <c r="Z141" s="81">
        <v>-4.2999999999999997E-2</v>
      </c>
      <c r="AA141" s="81">
        <v>-0.21199999999999999</v>
      </c>
      <c r="AB141" s="81">
        <v>-0.10299999999999999</v>
      </c>
      <c r="AC141" s="81">
        <v>-7.4999999999999997E-2</v>
      </c>
      <c r="AD141" s="81">
        <v>-4.1000000000000002E-2</v>
      </c>
    </row>
    <row r="142" spans="1:30">
      <c r="A142" s="38" t="s">
        <v>36</v>
      </c>
      <c r="B142" s="180">
        <v>3.1900000000000004</v>
      </c>
      <c r="C142" s="77">
        <v>1.734</v>
      </c>
      <c r="D142" s="77">
        <v>12.463000000000001</v>
      </c>
      <c r="E142" s="77">
        <v>2.42</v>
      </c>
      <c r="F142" s="77">
        <v>6.4329999999999998</v>
      </c>
      <c r="G142" s="77">
        <v>2.2250000000000001</v>
      </c>
      <c r="H142" s="77">
        <v>-2.7629999999999999</v>
      </c>
      <c r="I142" s="77">
        <v>3.3490000000000002</v>
      </c>
      <c r="J142" s="77">
        <v>1.9649999999999999</v>
      </c>
      <c r="K142" s="77">
        <v>2.3490000000000002</v>
      </c>
      <c r="L142" s="77">
        <v>5.458000000000002</v>
      </c>
      <c r="M142" s="77">
        <v>1.8409999999999993</v>
      </c>
      <c r="N142" s="77">
        <v>6.1690000000000005</v>
      </c>
      <c r="O142" s="77">
        <v>4.0999999999999996</v>
      </c>
      <c r="P142" s="81"/>
      <c r="Q142" s="280">
        <v>4.9240000000000004</v>
      </c>
      <c r="R142" s="81">
        <v>1.734</v>
      </c>
      <c r="S142" s="81">
        <v>23.541</v>
      </c>
      <c r="T142" s="81">
        <v>11.077999999999999</v>
      </c>
      <c r="U142" s="81">
        <v>8.6579999999999995</v>
      </c>
      <c r="V142" s="81">
        <v>2.2250000000000001</v>
      </c>
      <c r="W142" s="81">
        <v>4.9000000000000004</v>
      </c>
      <c r="X142" s="81">
        <v>7.6630000000000003</v>
      </c>
      <c r="Y142" s="81">
        <v>4.3140000000000001</v>
      </c>
      <c r="Z142" s="81">
        <v>2.3490000000000002</v>
      </c>
      <c r="AA142" s="81">
        <v>17.568000000000001</v>
      </c>
      <c r="AB142" s="81">
        <v>12.11</v>
      </c>
      <c r="AC142" s="81">
        <v>10.269</v>
      </c>
      <c r="AD142" s="81">
        <v>4.0999999999999996</v>
      </c>
    </row>
    <row r="143" spans="1:30">
      <c r="A143" s="19" t="s">
        <v>37</v>
      </c>
      <c r="B143" s="282">
        <v>1.2180000000000004</v>
      </c>
      <c r="C143" s="233">
        <v>0.54499999999999993</v>
      </c>
      <c r="D143" s="233">
        <v>9.9939999999999998</v>
      </c>
      <c r="E143" s="233">
        <v>-0.37000000000000099</v>
      </c>
      <c r="F143" s="233">
        <v>4.4909999999999997</v>
      </c>
      <c r="G143" s="233">
        <v>-0.39299999999999979</v>
      </c>
      <c r="H143" s="233">
        <v>-6.1900000000000013</v>
      </c>
      <c r="I143" s="233">
        <v>-2.4479999999999968</v>
      </c>
      <c r="J143" s="233">
        <v>-4.6890000000000009</v>
      </c>
      <c r="K143" s="233">
        <v>-4.7619999999999996</v>
      </c>
      <c r="L143" s="233">
        <v>-1.8119999999999976</v>
      </c>
      <c r="M143" s="233">
        <v>-6.0550000000000015</v>
      </c>
      <c r="N143" s="233">
        <v>-3.2029999999999994</v>
      </c>
      <c r="O143" s="233">
        <v>-5.9530000000000012</v>
      </c>
      <c r="P143" s="83"/>
      <c r="Q143" s="281">
        <v>1.7630000000000003</v>
      </c>
      <c r="R143" s="83">
        <v>0.54499999999999993</v>
      </c>
      <c r="S143" s="83">
        <v>13.722</v>
      </c>
      <c r="T143" s="83">
        <v>3.7279999999999989</v>
      </c>
      <c r="U143" s="83">
        <v>4.0979999999999999</v>
      </c>
      <c r="V143" s="83">
        <v>-0.39299999999999979</v>
      </c>
      <c r="W143" s="83">
        <v>-18.088999999999999</v>
      </c>
      <c r="X143" s="83">
        <v>-11.898999999999997</v>
      </c>
      <c r="Y143" s="83">
        <v>-9.4510000000000005</v>
      </c>
      <c r="Z143" s="83">
        <v>-4.7619999999999996</v>
      </c>
      <c r="AA143" s="83">
        <v>-17.023</v>
      </c>
      <c r="AB143" s="83">
        <v>-15.211000000000002</v>
      </c>
      <c r="AC143" s="83">
        <v>-9.1560000000000006</v>
      </c>
      <c r="AD143" s="83">
        <v>-5.9530000000000012</v>
      </c>
    </row>
    <row r="144" spans="1:30">
      <c r="A144" s="19" t="s">
        <v>40</v>
      </c>
      <c r="B144" s="282">
        <v>-2.1429999999999998</v>
      </c>
      <c r="C144" s="233">
        <v>-2.6680000000000001</v>
      </c>
      <c r="D144" s="233">
        <v>-1.7040000000000006</v>
      </c>
      <c r="E144" s="233">
        <v>-3.4749999999999996</v>
      </c>
      <c r="F144" s="233">
        <v>-4.1549999999999994</v>
      </c>
      <c r="G144" s="233">
        <v>-3.4609999999999999</v>
      </c>
      <c r="H144" s="233">
        <v>-4.8870000000000005</v>
      </c>
      <c r="I144" s="233">
        <v>-4.745000000000001</v>
      </c>
      <c r="J144" s="233">
        <v>-4.4589999999999996</v>
      </c>
      <c r="K144" s="233">
        <v>-4.1449999999999996</v>
      </c>
      <c r="L144" s="233">
        <v>-5.3030000000000008</v>
      </c>
      <c r="M144" s="233">
        <v>-4.7739999999999991</v>
      </c>
      <c r="N144" s="233">
        <v>-4.7480000000000002</v>
      </c>
      <c r="O144" s="233">
        <v>-4.5940000000000003</v>
      </c>
      <c r="P144" s="83"/>
      <c r="Q144" s="281">
        <v>-4.8109999999999999</v>
      </c>
      <c r="R144" s="83">
        <v>-2.6680000000000001</v>
      </c>
      <c r="S144" s="83">
        <v>-12.795</v>
      </c>
      <c r="T144" s="83">
        <v>-11.090999999999999</v>
      </c>
      <c r="U144" s="83">
        <v>-7.6159999999999997</v>
      </c>
      <c r="V144" s="83">
        <v>-3.4609999999999999</v>
      </c>
      <c r="W144" s="83">
        <v>-18.236000000000001</v>
      </c>
      <c r="X144" s="83">
        <v>-13.349</v>
      </c>
      <c r="Y144" s="83">
        <v>-8.6039999999999992</v>
      </c>
      <c r="Z144" s="83">
        <v>-4.1449999999999996</v>
      </c>
      <c r="AA144" s="83">
        <v>-19.419</v>
      </c>
      <c r="AB144" s="83">
        <v>-14.116</v>
      </c>
      <c r="AC144" s="83">
        <v>-9.3420000000000005</v>
      </c>
      <c r="AD144" s="83">
        <v>-4.5940000000000003</v>
      </c>
    </row>
    <row r="145" spans="1:30">
      <c r="A145" s="19" t="s">
        <v>92</v>
      </c>
      <c r="B145" s="282">
        <v>-0.92499999999999938</v>
      </c>
      <c r="C145" s="233">
        <v>-2.1230000000000002</v>
      </c>
      <c r="D145" s="233">
        <v>8.2899999999999991</v>
      </c>
      <c r="E145" s="233">
        <v>-3.8450000000000006</v>
      </c>
      <c r="F145" s="233">
        <v>0.33599999999999985</v>
      </c>
      <c r="G145" s="233">
        <v>-3.8539999999999996</v>
      </c>
      <c r="H145" s="233">
        <v>-11.077000000000005</v>
      </c>
      <c r="I145" s="233">
        <v>-7.1929999999999978</v>
      </c>
      <c r="J145" s="233">
        <v>-9.1479999999999997</v>
      </c>
      <c r="K145" s="233">
        <v>-8.907</v>
      </c>
      <c r="L145" s="233">
        <v>-7.1149999999999984</v>
      </c>
      <c r="M145" s="233">
        <v>-10.829000000000001</v>
      </c>
      <c r="N145" s="233">
        <v>-7.9510000000000005</v>
      </c>
      <c r="O145" s="233">
        <v>-10.547000000000001</v>
      </c>
      <c r="P145" s="83"/>
      <c r="Q145" s="281">
        <v>-3.0479999999999996</v>
      </c>
      <c r="R145" s="83">
        <v>-2.1230000000000002</v>
      </c>
      <c r="S145" s="83">
        <v>0.9269999999999996</v>
      </c>
      <c r="T145" s="83">
        <v>-7.3630000000000004</v>
      </c>
      <c r="U145" s="83">
        <v>-3.5179999999999998</v>
      </c>
      <c r="V145" s="83">
        <v>-3.8539999999999996</v>
      </c>
      <c r="W145" s="83">
        <v>-36.325000000000003</v>
      </c>
      <c r="X145" s="83">
        <v>-25.247999999999998</v>
      </c>
      <c r="Y145" s="83">
        <v>-18.055</v>
      </c>
      <c r="Z145" s="83">
        <v>-8.907</v>
      </c>
      <c r="AA145" s="83">
        <v>-36.442</v>
      </c>
      <c r="AB145" s="83">
        <v>-29.327000000000002</v>
      </c>
      <c r="AC145" s="83">
        <v>-18.498000000000001</v>
      </c>
      <c r="AD145" s="83">
        <v>-10.547000000000001</v>
      </c>
    </row>
    <row r="146" spans="1:30" ht="28.5" customHeight="1">
      <c r="A146" s="79" t="s">
        <v>507</v>
      </c>
      <c r="B146" s="180">
        <v>0</v>
      </c>
      <c r="C146" s="77">
        <v>0</v>
      </c>
      <c r="D146" s="77">
        <v>0</v>
      </c>
      <c r="E146" s="77">
        <v>0</v>
      </c>
      <c r="F146" s="77">
        <v>0</v>
      </c>
      <c r="G146" s="77">
        <v>0</v>
      </c>
      <c r="H146" s="77">
        <v>0</v>
      </c>
      <c r="I146" s="77">
        <v>0</v>
      </c>
      <c r="J146" s="77">
        <v>0</v>
      </c>
      <c r="K146" s="77">
        <v>0</v>
      </c>
      <c r="L146" s="77">
        <v>0</v>
      </c>
      <c r="M146" s="77">
        <v>0</v>
      </c>
      <c r="N146" s="77">
        <v>0</v>
      </c>
      <c r="O146" s="77">
        <v>0</v>
      </c>
      <c r="P146" s="81"/>
      <c r="Q146" s="280">
        <v>0</v>
      </c>
      <c r="R146" s="81">
        <v>0</v>
      </c>
      <c r="S146" s="81">
        <v>0</v>
      </c>
      <c r="T146" s="81">
        <v>0</v>
      </c>
      <c r="U146" s="81">
        <v>0</v>
      </c>
      <c r="V146" s="81">
        <v>0</v>
      </c>
      <c r="W146" s="81">
        <v>0</v>
      </c>
      <c r="X146" s="81">
        <v>0</v>
      </c>
      <c r="Y146" s="81">
        <v>0</v>
      </c>
      <c r="Z146" s="81">
        <v>0</v>
      </c>
      <c r="AA146" s="81">
        <v>0</v>
      </c>
      <c r="AB146" s="81">
        <v>0</v>
      </c>
      <c r="AC146" s="81">
        <v>0</v>
      </c>
      <c r="AD146" s="81">
        <v>0</v>
      </c>
    </row>
    <row r="147" spans="1:30">
      <c r="A147" s="38" t="s">
        <v>93</v>
      </c>
      <c r="B147" s="180">
        <v>-6.6710000000000003</v>
      </c>
      <c r="C147" s="77">
        <v>-6.3159999999999998</v>
      </c>
      <c r="D147" s="77">
        <v>-8.4589999999999996</v>
      </c>
      <c r="E147" s="77">
        <v>-5.572000000000001</v>
      </c>
      <c r="F147" s="77">
        <v>-4.593</v>
      </c>
      <c r="G147" s="77">
        <v>-10.004</v>
      </c>
      <c r="H147" s="77">
        <v>-17.287999999999997</v>
      </c>
      <c r="I147" s="77">
        <v>-14.267000000000003</v>
      </c>
      <c r="J147" s="77">
        <v>-11.111000000000001</v>
      </c>
      <c r="K147" s="77">
        <v>-8.4589999999999996</v>
      </c>
      <c r="L147" s="77">
        <v>-14.470999999999997</v>
      </c>
      <c r="M147" s="77">
        <v>-7.7850000000000001</v>
      </c>
      <c r="N147" s="77">
        <v>-18.715000000000003</v>
      </c>
      <c r="O147" s="77">
        <v>-10.597</v>
      </c>
      <c r="P147" s="81"/>
      <c r="Q147" s="280">
        <v>-12.987</v>
      </c>
      <c r="R147" s="81">
        <v>-6.3159999999999998</v>
      </c>
      <c r="S147" s="81">
        <v>-28.628</v>
      </c>
      <c r="T147" s="81">
        <v>-20.169</v>
      </c>
      <c r="U147" s="81">
        <v>-14.597</v>
      </c>
      <c r="V147" s="81">
        <v>-10.004</v>
      </c>
      <c r="W147" s="81">
        <v>-51.125</v>
      </c>
      <c r="X147" s="81">
        <v>-33.837000000000003</v>
      </c>
      <c r="Y147" s="81">
        <v>-19.57</v>
      </c>
      <c r="Z147" s="81">
        <v>-8.4589999999999996</v>
      </c>
      <c r="AA147" s="81">
        <v>-51.567999999999998</v>
      </c>
      <c r="AB147" s="81">
        <v>-37.097000000000001</v>
      </c>
      <c r="AC147" s="81">
        <v>-29.312000000000001</v>
      </c>
      <c r="AD147" s="81">
        <v>-10.597</v>
      </c>
    </row>
    <row r="148" spans="1:30">
      <c r="A148" s="38" t="s">
        <v>94</v>
      </c>
      <c r="B148" s="180">
        <v>0</v>
      </c>
      <c r="C148" s="77">
        <v>0</v>
      </c>
      <c r="D148" s="77">
        <v>0</v>
      </c>
      <c r="E148" s="77">
        <v>0</v>
      </c>
      <c r="F148" s="77">
        <v>0</v>
      </c>
      <c r="G148" s="77">
        <v>0</v>
      </c>
      <c r="H148" s="77">
        <v>0</v>
      </c>
      <c r="I148" s="77">
        <v>0</v>
      </c>
      <c r="J148" s="77">
        <v>0</v>
      </c>
      <c r="K148" s="77">
        <v>0</v>
      </c>
      <c r="L148" s="77">
        <v>0</v>
      </c>
      <c r="M148" s="77">
        <v>0</v>
      </c>
      <c r="N148" s="77">
        <v>0</v>
      </c>
      <c r="O148" s="77">
        <v>0</v>
      </c>
      <c r="P148" s="81"/>
      <c r="Q148" s="280">
        <v>0</v>
      </c>
      <c r="R148" s="81">
        <v>0</v>
      </c>
      <c r="S148" s="81">
        <v>0</v>
      </c>
      <c r="T148" s="81">
        <v>0</v>
      </c>
      <c r="U148" s="81">
        <v>0</v>
      </c>
      <c r="V148" s="81">
        <v>0</v>
      </c>
      <c r="W148" s="81">
        <v>0</v>
      </c>
      <c r="X148" s="81">
        <v>0</v>
      </c>
      <c r="Y148" s="81">
        <v>0</v>
      </c>
      <c r="Z148" s="81">
        <v>0</v>
      </c>
      <c r="AA148" s="81">
        <v>0</v>
      </c>
      <c r="AB148" s="81">
        <v>0</v>
      </c>
      <c r="AC148" s="81">
        <v>0</v>
      </c>
      <c r="AD148" s="81">
        <v>0</v>
      </c>
    </row>
    <row r="149" spans="1:30">
      <c r="A149" s="38" t="s">
        <v>95</v>
      </c>
      <c r="B149" s="180">
        <v>0</v>
      </c>
      <c r="C149" s="77">
        <v>0</v>
      </c>
      <c r="D149" s="77">
        <v>0</v>
      </c>
      <c r="E149" s="77">
        <v>0</v>
      </c>
      <c r="F149" s="77">
        <v>0</v>
      </c>
      <c r="G149" s="77">
        <v>0</v>
      </c>
      <c r="H149" s="77">
        <v>0</v>
      </c>
      <c r="I149" s="77">
        <v>0</v>
      </c>
      <c r="J149" s="77">
        <v>0</v>
      </c>
      <c r="K149" s="77">
        <v>0</v>
      </c>
      <c r="L149" s="77">
        <v>0</v>
      </c>
      <c r="M149" s="77">
        <v>0</v>
      </c>
      <c r="N149" s="77">
        <v>0</v>
      </c>
      <c r="O149" s="77">
        <v>0</v>
      </c>
      <c r="P149" s="81"/>
      <c r="Q149" s="280">
        <v>0</v>
      </c>
      <c r="R149" s="81">
        <v>0</v>
      </c>
      <c r="S149" s="81">
        <v>0</v>
      </c>
      <c r="T149" s="81">
        <v>0</v>
      </c>
      <c r="U149" s="81">
        <v>0</v>
      </c>
      <c r="V149" s="81">
        <v>0</v>
      </c>
      <c r="W149" s="81">
        <v>0</v>
      </c>
      <c r="X149" s="81">
        <v>0</v>
      </c>
      <c r="Y149" s="81">
        <v>0</v>
      </c>
      <c r="Z149" s="81">
        <v>0</v>
      </c>
      <c r="AA149" s="81">
        <v>0</v>
      </c>
      <c r="AB149" s="81">
        <v>0</v>
      </c>
      <c r="AC149" s="81">
        <v>0</v>
      </c>
      <c r="AD149" s="81">
        <v>0</v>
      </c>
    </row>
    <row r="150" spans="1:30">
      <c r="A150" s="19" t="s">
        <v>96</v>
      </c>
      <c r="B150" s="282">
        <v>-7.5960000000000001</v>
      </c>
      <c r="C150" s="233">
        <v>-8.4390000000000001</v>
      </c>
      <c r="D150" s="233">
        <v>-0.16900000000000048</v>
      </c>
      <c r="E150" s="233">
        <v>-9.4170000000000016</v>
      </c>
      <c r="F150" s="233">
        <v>-4.2569999999999997</v>
      </c>
      <c r="G150" s="233">
        <v>-13.857999999999999</v>
      </c>
      <c r="H150" s="233">
        <v>-28.365000000000002</v>
      </c>
      <c r="I150" s="233">
        <v>-21.46</v>
      </c>
      <c r="J150" s="233">
        <v>-20.259</v>
      </c>
      <c r="K150" s="233">
        <v>-17.366</v>
      </c>
      <c r="L150" s="233">
        <v>-21.585999999999984</v>
      </c>
      <c r="M150" s="233">
        <v>-18.614000000000004</v>
      </c>
      <c r="N150" s="233">
        <v>-26.666000000000004</v>
      </c>
      <c r="O150" s="233">
        <v>-21.143999999999998</v>
      </c>
      <c r="P150" s="83"/>
      <c r="Q150" s="281">
        <v>-16.035</v>
      </c>
      <c r="R150" s="83">
        <v>-8.4390000000000001</v>
      </c>
      <c r="S150" s="83">
        <v>-27.701000000000001</v>
      </c>
      <c r="T150" s="83">
        <v>-27.532</v>
      </c>
      <c r="U150" s="83">
        <v>-18.114999999999998</v>
      </c>
      <c r="V150" s="83">
        <v>-13.857999999999999</v>
      </c>
      <c r="W150" s="83">
        <v>-87.45</v>
      </c>
      <c r="X150" s="83">
        <v>-59.085000000000001</v>
      </c>
      <c r="Y150" s="83">
        <v>-37.625</v>
      </c>
      <c r="Z150" s="83">
        <v>-17.366</v>
      </c>
      <c r="AA150" s="83">
        <v>-88.009999999999991</v>
      </c>
      <c r="AB150" s="83">
        <v>-66.424000000000007</v>
      </c>
      <c r="AC150" s="83">
        <v>-47.81</v>
      </c>
      <c r="AD150" s="83">
        <v>-21.143999999999998</v>
      </c>
    </row>
    <row r="151" spans="1:30">
      <c r="A151" s="38" t="s">
        <v>45</v>
      </c>
      <c r="B151" s="180">
        <v>2.0209999999999999</v>
      </c>
      <c r="C151" s="77">
        <v>0.14899999999999999</v>
      </c>
      <c r="D151" s="77">
        <v>1.2070000000000001</v>
      </c>
      <c r="E151" s="77">
        <v>2.9780000000000002</v>
      </c>
      <c r="F151" s="77">
        <v>-5.7102500000000003</v>
      </c>
      <c r="G151" s="77">
        <v>1.7322499999999998</v>
      </c>
      <c r="H151" s="77">
        <v>2.0685000000000002</v>
      </c>
      <c r="I151" s="77">
        <v>3.2190000000000003</v>
      </c>
      <c r="J151" s="77">
        <v>3.0388500000000001</v>
      </c>
      <c r="K151" s="77">
        <v>2.6048999999999998</v>
      </c>
      <c r="L151" s="77">
        <v>2.698249999999998</v>
      </c>
      <c r="M151" s="77">
        <v>2.3267500000000005</v>
      </c>
      <c r="N151" s="77">
        <v>3.3332500000000005</v>
      </c>
      <c r="O151" s="77">
        <v>2.6429999999999998</v>
      </c>
      <c r="P151" s="81"/>
      <c r="Q151" s="280">
        <v>2.17</v>
      </c>
      <c r="R151" s="81">
        <v>0.14899999999999999</v>
      </c>
      <c r="S151" s="81">
        <v>0.20699999999999999</v>
      </c>
      <c r="T151" s="81">
        <v>-1</v>
      </c>
      <c r="U151" s="81">
        <v>-3.9780000000000002</v>
      </c>
      <c r="V151" s="81">
        <v>1.7322499999999998</v>
      </c>
      <c r="W151" s="81">
        <v>10.93125</v>
      </c>
      <c r="X151" s="81">
        <v>8.8627500000000001</v>
      </c>
      <c r="Y151" s="81">
        <v>5.6437499999999998</v>
      </c>
      <c r="Z151" s="81">
        <v>2.6048999999999998</v>
      </c>
      <c r="AA151" s="81">
        <v>11.001249999999999</v>
      </c>
      <c r="AB151" s="81">
        <v>8.3030000000000008</v>
      </c>
      <c r="AC151" s="81">
        <v>5.9762500000000003</v>
      </c>
      <c r="AD151" s="81">
        <v>2.6429999999999998</v>
      </c>
    </row>
    <row r="152" spans="1:30">
      <c r="A152" s="38" t="s">
        <v>97</v>
      </c>
      <c r="B152" s="180">
        <v>0</v>
      </c>
      <c r="C152" s="77">
        <v>0</v>
      </c>
      <c r="D152" s="77">
        <v>0.20610000000000001</v>
      </c>
      <c r="E152" s="77">
        <v>0</v>
      </c>
      <c r="F152" s="77">
        <v>0</v>
      </c>
      <c r="G152" s="77">
        <v>0</v>
      </c>
      <c r="H152" s="77">
        <v>2.2149000000000001</v>
      </c>
      <c r="I152" s="77">
        <v>0</v>
      </c>
      <c r="J152" s="77">
        <v>0</v>
      </c>
      <c r="K152" s="77">
        <v>0</v>
      </c>
      <c r="L152" s="77">
        <v>0</v>
      </c>
      <c r="M152" s="77">
        <v>0</v>
      </c>
      <c r="N152" s="77">
        <v>0</v>
      </c>
      <c r="O152" s="77">
        <v>0</v>
      </c>
      <c r="P152" s="81"/>
      <c r="Q152" s="280">
        <v>0</v>
      </c>
      <c r="R152" s="81">
        <v>0</v>
      </c>
      <c r="S152" s="81">
        <v>0.20610000000000001</v>
      </c>
      <c r="T152" s="81">
        <v>0</v>
      </c>
      <c r="U152" s="81">
        <v>0</v>
      </c>
      <c r="V152" s="81">
        <v>0</v>
      </c>
      <c r="W152" s="81">
        <v>2.2149000000000001</v>
      </c>
      <c r="X152" s="81">
        <v>0</v>
      </c>
      <c r="Y152" s="81">
        <v>0</v>
      </c>
      <c r="Z152" s="81">
        <v>0</v>
      </c>
      <c r="AA152" s="81">
        <v>0</v>
      </c>
      <c r="AB152" s="81">
        <v>0</v>
      </c>
      <c r="AC152" s="81">
        <v>0</v>
      </c>
      <c r="AD152" s="81">
        <v>0</v>
      </c>
    </row>
    <row r="153" spans="1:30">
      <c r="A153" s="19" t="s">
        <v>98</v>
      </c>
      <c r="B153" s="282">
        <v>-5.5749999999999993</v>
      </c>
      <c r="C153" s="233">
        <v>-8.2900000000000009</v>
      </c>
      <c r="D153" s="233">
        <v>1.2440999999999995</v>
      </c>
      <c r="E153" s="233">
        <v>-6.4390000000000001</v>
      </c>
      <c r="F153" s="233">
        <v>-9.9672500000000017</v>
      </c>
      <c r="G153" s="233">
        <v>-12.125749999999998</v>
      </c>
      <c r="H153" s="233">
        <v>-24.081599999999995</v>
      </c>
      <c r="I153" s="233">
        <v>-18.241000000000003</v>
      </c>
      <c r="J153" s="233">
        <v>-17.22015</v>
      </c>
      <c r="K153" s="233">
        <v>-14.761099999999999</v>
      </c>
      <c r="L153" s="233">
        <v>-18.887749999999983</v>
      </c>
      <c r="M153" s="233">
        <v>-16.287250000000007</v>
      </c>
      <c r="N153" s="233">
        <v>-23.332750000000004</v>
      </c>
      <c r="O153" s="233">
        <v>-18.500999999999998</v>
      </c>
      <c r="P153" s="83"/>
      <c r="Q153" s="281">
        <v>-13.865</v>
      </c>
      <c r="R153" s="83">
        <v>-8.2900000000000009</v>
      </c>
      <c r="S153" s="83">
        <v>-27.2879</v>
      </c>
      <c r="T153" s="83">
        <v>-28.532</v>
      </c>
      <c r="U153" s="83">
        <v>-22.093</v>
      </c>
      <c r="V153" s="83">
        <v>-12.125749999999998</v>
      </c>
      <c r="W153" s="83">
        <v>-74.303849999999997</v>
      </c>
      <c r="X153" s="83">
        <v>-50.222250000000003</v>
      </c>
      <c r="Y153" s="83">
        <v>-31.981249999999999</v>
      </c>
      <c r="Z153" s="83">
        <v>-14.761099999999999</v>
      </c>
      <c r="AA153" s="83">
        <v>-77.008749999999992</v>
      </c>
      <c r="AB153" s="83">
        <v>-58.121000000000009</v>
      </c>
      <c r="AC153" s="83">
        <v>-41.833750000000002</v>
      </c>
      <c r="AD153" s="83">
        <v>-18.500999999999998</v>
      </c>
    </row>
    <row r="154" spans="1:30">
      <c r="A154" s="24"/>
      <c r="B154" s="24"/>
      <c r="C154" s="24"/>
      <c r="D154" s="24"/>
      <c r="E154" s="24"/>
      <c r="F154" s="24"/>
      <c r="G154" s="24"/>
      <c r="H154" s="24"/>
      <c r="I154" s="24"/>
      <c r="J154" s="24"/>
      <c r="K154" s="24"/>
      <c r="L154" s="24"/>
      <c r="M154" s="24"/>
      <c r="N154" s="24"/>
      <c r="O154" s="24"/>
      <c r="P154" s="86"/>
      <c r="Q154" s="86"/>
      <c r="R154" s="86"/>
      <c r="S154" s="86"/>
      <c r="T154" s="86"/>
      <c r="U154" s="86"/>
      <c r="V154" s="86"/>
      <c r="W154" s="86"/>
      <c r="X154" s="86"/>
      <c r="Y154" s="86"/>
      <c r="Z154" s="86"/>
      <c r="AA154" s="86"/>
      <c r="AB154" s="86"/>
      <c r="AC154" s="86"/>
      <c r="AD154" s="86"/>
    </row>
    <row r="155" spans="1:30">
      <c r="A155" s="19" t="s">
        <v>33</v>
      </c>
      <c r="B155" s="75" t="s">
        <v>552</v>
      </c>
      <c r="C155" s="75" t="s">
        <v>500</v>
      </c>
      <c r="D155" s="75" t="s">
        <v>444</v>
      </c>
      <c r="E155" s="75" t="s">
        <v>441</v>
      </c>
      <c r="F155" s="75" t="s">
        <v>424</v>
      </c>
      <c r="G155" s="75" t="s">
        <v>370</v>
      </c>
      <c r="H155" s="75" t="s">
        <v>364</v>
      </c>
      <c r="I155" s="75" t="s">
        <v>335</v>
      </c>
      <c r="J155" s="75" t="s">
        <v>327</v>
      </c>
      <c r="K155" s="75" t="s">
        <v>320</v>
      </c>
      <c r="L155" s="75" t="s">
        <v>313</v>
      </c>
      <c r="M155" s="75" t="s">
        <v>285</v>
      </c>
      <c r="N155" s="75" t="s">
        <v>278</v>
      </c>
      <c r="O155" s="75" t="s">
        <v>273</v>
      </c>
      <c r="P155" s="75"/>
      <c r="Q155" s="75" t="s">
        <v>553</v>
      </c>
      <c r="R155" s="75" t="s">
        <v>501</v>
      </c>
      <c r="S155" s="75" t="s">
        <v>445</v>
      </c>
      <c r="T155" s="75" t="s">
        <v>442</v>
      </c>
      <c r="U155" s="75" t="s">
        <v>425</v>
      </c>
      <c r="V155" s="75" t="s">
        <v>371</v>
      </c>
      <c r="W155" s="75" t="s">
        <v>365</v>
      </c>
      <c r="X155" s="75" t="s">
        <v>336</v>
      </c>
      <c r="Y155" s="75" t="s">
        <v>328</v>
      </c>
      <c r="Z155" s="75" t="s">
        <v>321</v>
      </c>
      <c r="AA155" s="75" t="s">
        <v>314</v>
      </c>
      <c r="AB155" s="75" t="s">
        <v>286</v>
      </c>
      <c r="AC155" s="75" t="s">
        <v>279</v>
      </c>
      <c r="AD155" s="75" t="s">
        <v>274</v>
      </c>
    </row>
    <row r="156" spans="1:30">
      <c r="A156" s="21" t="s">
        <v>14</v>
      </c>
      <c r="B156" s="21"/>
      <c r="C156" s="21"/>
      <c r="D156" s="21"/>
      <c r="E156" s="21"/>
      <c r="F156" s="21"/>
      <c r="G156" s="21"/>
      <c r="H156" s="21"/>
      <c r="I156" s="21"/>
      <c r="J156" s="21"/>
      <c r="K156" s="21"/>
      <c r="L156" s="21"/>
      <c r="M156" s="21"/>
      <c r="N156" s="21"/>
      <c r="O156" s="21"/>
      <c r="P156" s="85"/>
      <c r="Q156" s="85"/>
      <c r="R156" s="85"/>
      <c r="S156" s="85"/>
      <c r="T156" s="85"/>
      <c r="U156" s="85"/>
      <c r="V156" s="85"/>
      <c r="W156" s="85"/>
      <c r="X156" s="85"/>
      <c r="Y156" s="85"/>
      <c r="Z156" s="85"/>
      <c r="AA156" s="85"/>
      <c r="AB156" s="85"/>
      <c r="AC156" s="85"/>
      <c r="AD156" s="85"/>
    </row>
    <row r="157" spans="1:30">
      <c r="A157" s="38" t="s">
        <v>34</v>
      </c>
      <c r="B157" s="180">
        <v>0.49200000000000005</v>
      </c>
      <c r="C157" s="77">
        <v>0.28499999999999998</v>
      </c>
      <c r="D157" s="77">
        <v>0.21499999999999997</v>
      </c>
      <c r="E157" s="77">
        <v>9.4999999999999973E-2</v>
      </c>
      <c r="F157" s="77">
        <v>0.373</v>
      </c>
      <c r="G157" s="77">
        <v>0.159</v>
      </c>
      <c r="H157" s="77">
        <v>1.3000000000000001E-2</v>
      </c>
      <c r="I157" s="77">
        <v>2.5999999999999999E-2</v>
      </c>
      <c r="J157" s="77">
        <v>-1.9E-2</v>
      </c>
      <c r="K157" s="77">
        <v>0</v>
      </c>
      <c r="L157" s="77">
        <v>-1E-3</v>
      </c>
      <c r="M157" s="77">
        <v>-1E-3</v>
      </c>
      <c r="N157" s="77">
        <v>-1E-3</v>
      </c>
      <c r="O157" s="77">
        <v>0</v>
      </c>
      <c r="P157" s="81"/>
      <c r="Q157" s="280">
        <v>0.77700000000000002</v>
      </c>
      <c r="R157" s="81">
        <v>0.28499999999999998</v>
      </c>
      <c r="S157" s="81">
        <v>0.84199999999999997</v>
      </c>
      <c r="T157" s="81">
        <v>0.627</v>
      </c>
      <c r="U157" s="81">
        <v>0.53200000000000003</v>
      </c>
      <c r="V157" s="81">
        <v>0.159</v>
      </c>
      <c r="W157" s="81">
        <v>0.02</v>
      </c>
      <c r="X157" s="81">
        <v>7.0000000000000001E-3</v>
      </c>
      <c r="Y157" s="81">
        <v>-1.9E-2</v>
      </c>
      <c r="Z157" s="81">
        <v>0</v>
      </c>
      <c r="AA157" s="81">
        <v>-3.0000000000000001E-3</v>
      </c>
      <c r="AB157" s="81">
        <v>-2E-3</v>
      </c>
      <c r="AC157" s="81">
        <v>-1E-3</v>
      </c>
      <c r="AD157" s="81">
        <v>0</v>
      </c>
    </row>
    <row r="158" spans="1:30">
      <c r="A158" s="38" t="s">
        <v>91</v>
      </c>
      <c r="B158" s="180">
        <v>-2.6379999999999999</v>
      </c>
      <c r="C158" s="77">
        <v>-2.2469999999999999</v>
      </c>
      <c r="D158" s="77">
        <v>-2.617</v>
      </c>
      <c r="E158" s="77">
        <v>-2.4120000000000008</v>
      </c>
      <c r="F158" s="77">
        <v>-2.2969999999999997</v>
      </c>
      <c r="G158" s="77">
        <v>-2.1219999999999999</v>
      </c>
      <c r="H158" s="77">
        <v>-2.7540000000000004</v>
      </c>
      <c r="I158" s="77">
        <v>-1.9359999999999999</v>
      </c>
      <c r="J158" s="77">
        <v>-2.2190000000000003</v>
      </c>
      <c r="K158" s="77">
        <v>-1.8879999999999999</v>
      </c>
      <c r="L158" s="77">
        <v>-2.1459999999999999</v>
      </c>
      <c r="M158" s="77">
        <v>-1.8719999999999999</v>
      </c>
      <c r="N158" s="77">
        <v>-2.4269999999999996</v>
      </c>
      <c r="O158" s="77">
        <v>-1.905</v>
      </c>
      <c r="P158" s="81"/>
      <c r="Q158" s="280">
        <v>-4.8849999999999998</v>
      </c>
      <c r="R158" s="81">
        <v>-2.2469999999999999</v>
      </c>
      <c r="S158" s="81">
        <v>-9.4480000000000004</v>
      </c>
      <c r="T158" s="81">
        <v>-6.8310000000000004</v>
      </c>
      <c r="U158" s="81">
        <v>-4.4189999999999996</v>
      </c>
      <c r="V158" s="81">
        <v>-2.1219999999999999</v>
      </c>
      <c r="W158" s="81">
        <v>-8.7970000000000006</v>
      </c>
      <c r="X158" s="81">
        <v>-6.0430000000000001</v>
      </c>
      <c r="Y158" s="81">
        <v>-4.1070000000000002</v>
      </c>
      <c r="Z158" s="81">
        <v>-1.8879999999999999</v>
      </c>
      <c r="AA158" s="81">
        <v>-8.35</v>
      </c>
      <c r="AB158" s="81">
        <v>-6.2039999999999997</v>
      </c>
      <c r="AC158" s="81">
        <v>-4.3319999999999999</v>
      </c>
      <c r="AD158" s="81">
        <v>-1.905</v>
      </c>
    </row>
    <row r="159" spans="1:30">
      <c r="A159" s="38" t="s">
        <v>36</v>
      </c>
      <c r="B159" s="180">
        <v>17.961000000000002</v>
      </c>
      <c r="C159" s="77">
        <v>16.632999999999999</v>
      </c>
      <c r="D159" s="77">
        <v>25.965000000000003</v>
      </c>
      <c r="E159" s="77">
        <v>20.862000000000002</v>
      </c>
      <c r="F159" s="77">
        <v>13.700000000000001</v>
      </c>
      <c r="G159" s="77">
        <v>12.12</v>
      </c>
      <c r="H159" s="77">
        <v>12.790999999999997</v>
      </c>
      <c r="I159" s="77">
        <v>14.431000000000001</v>
      </c>
      <c r="J159" s="77">
        <v>12.875</v>
      </c>
      <c r="K159" s="77">
        <v>10.489000000000001</v>
      </c>
      <c r="L159" s="77">
        <v>19.455000000000005</v>
      </c>
      <c r="M159" s="77">
        <v>13.247999999999998</v>
      </c>
      <c r="N159" s="77">
        <v>20.152999999999999</v>
      </c>
      <c r="O159" s="77">
        <v>11.493</v>
      </c>
      <c r="P159" s="81"/>
      <c r="Q159" s="280">
        <v>34.594000000000001</v>
      </c>
      <c r="R159" s="81">
        <v>16.632999999999999</v>
      </c>
      <c r="S159" s="81">
        <v>72.647000000000006</v>
      </c>
      <c r="T159" s="81">
        <v>46.682000000000002</v>
      </c>
      <c r="U159" s="81">
        <v>25.82</v>
      </c>
      <c r="V159" s="81">
        <v>12.12</v>
      </c>
      <c r="W159" s="81">
        <v>50.585999999999999</v>
      </c>
      <c r="X159" s="81">
        <v>37.795000000000002</v>
      </c>
      <c r="Y159" s="81">
        <v>23.364000000000001</v>
      </c>
      <c r="Z159" s="81">
        <v>10.489000000000001</v>
      </c>
      <c r="AA159" s="81">
        <v>64.349000000000004</v>
      </c>
      <c r="AB159" s="81">
        <v>44.893999999999998</v>
      </c>
      <c r="AC159" s="81">
        <v>31.646000000000001</v>
      </c>
      <c r="AD159" s="81">
        <v>11.493</v>
      </c>
    </row>
    <row r="160" spans="1:30">
      <c r="A160" s="19" t="s">
        <v>37</v>
      </c>
      <c r="B160" s="282">
        <v>15.815000000000001</v>
      </c>
      <c r="C160" s="233">
        <v>14.670999999999999</v>
      </c>
      <c r="D160" s="233">
        <v>23.563000000000009</v>
      </c>
      <c r="E160" s="233">
        <v>18.545000000000002</v>
      </c>
      <c r="F160" s="233">
        <v>11.776</v>
      </c>
      <c r="G160" s="233">
        <v>10.157</v>
      </c>
      <c r="H160" s="233">
        <v>10.049999999999997</v>
      </c>
      <c r="I160" s="233">
        <v>12.521000000000001</v>
      </c>
      <c r="J160" s="233">
        <v>10.636999999999999</v>
      </c>
      <c r="K160" s="233">
        <v>8.6010000000000009</v>
      </c>
      <c r="L160" s="233">
        <v>17.308</v>
      </c>
      <c r="M160" s="233">
        <v>11.375</v>
      </c>
      <c r="N160" s="233">
        <v>17.725000000000001</v>
      </c>
      <c r="O160" s="233">
        <v>9.588000000000001</v>
      </c>
      <c r="P160" s="83"/>
      <c r="Q160" s="281">
        <v>30.486000000000001</v>
      </c>
      <c r="R160" s="83">
        <v>14.670999999999999</v>
      </c>
      <c r="S160" s="83">
        <v>64.041000000000011</v>
      </c>
      <c r="T160" s="83">
        <v>40.478000000000002</v>
      </c>
      <c r="U160" s="83">
        <v>21.933</v>
      </c>
      <c r="V160" s="83">
        <v>10.157</v>
      </c>
      <c r="W160" s="83">
        <v>41.808999999999997</v>
      </c>
      <c r="X160" s="83">
        <v>31.759</v>
      </c>
      <c r="Y160" s="83">
        <v>19.238</v>
      </c>
      <c r="Z160" s="83">
        <v>8.6010000000000009</v>
      </c>
      <c r="AA160" s="83">
        <v>55.996000000000002</v>
      </c>
      <c r="AB160" s="83">
        <v>38.688000000000002</v>
      </c>
      <c r="AC160" s="83">
        <v>27.313000000000002</v>
      </c>
      <c r="AD160" s="83">
        <v>9.588000000000001</v>
      </c>
    </row>
    <row r="161" spans="1:30">
      <c r="A161" s="19" t="s">
        <v>40</v>
      </c>
      <c r="B161" s="282">
        <v>-3.4679999999999995</v>
      </c>
      <c r="C161" s="233">
        <v>-3.18</v>
      </c>
      <c r="D161" s="233">
        <v>-7.1149999999999993</v>
      </c>
      <c r="E161" s="233">
        <v>-3.1100000000000003</v>
      </c>
      <c r="F161" s="233">
        <v>-1.3759999999999999</v>
      </c>
      <c r="G161" s="233">
        <v>-2.2330000000000001</v>
      </c>
      <c r="H161" s="233">
        <v>-3.089999999999999</v>
      </c>
      <c r="I161" s="233">
        <v>-1.5710000000000002</v>
      </c>
      <c r="J161" s="233">
        <v>-1.7090000000000001</v>
      </c>
      <c r="K161" s="233">
        <v>-1.6859999999999999</v>
      </c>
      <c r="L161" s="233">
        <v>-3.431</v>
      </c>
      <c r="M161" s="233">
        <v>-1.464</v>
      </c>
      <c r="N161" s="233">
        <v>-1.45</v>
      </c>
      <c r="O161" s="233">
        <v>-1.41</v>
      </c>
      <c r="P161" s="83"/>
      <c r="Q161" s="281">
        <v>-6.6479999999999997</v>
      </c>
      <c r="R161" s="83">
        <v>-3.18</v>
      </c>
      <c r="S161" s="83">
        <v>-13.834</v>
      </c>
      <c r="T161" s="83">
        <v>-6.7190000000000003</v>
      </c>
      <c r="U161" s="83">
        <v>-3.609</v>
      </c>
      <c r="V161" s="83">
        <v>-2.2330000000000001</v>
      </c>
      <c r="W161" s="83">
        <v>-8.0559999999999992</v>
      </c>
      <c r="X161" s="83">
        <v>-4.9660000000000002</v>
      </c>
      <c r="Y161" s="83">
        <v>-3.395</v>
      </c>
      <c r="Z161" s="83">
        <v>-1.6859999999999999</v>
      </c>
      <c r="AA161" s="83">
        <v>-7.7549999999999999</v>
      </c>
      <c r="AB161" s="83">
        <v>-4.3239999999999998</v>
      </c>
      <c r="AC161" s="83">
        <v>-2.86</v>
      </c>
      <c r="AD161" s="83">
        <v>-1.41</v>
      </c>
    </row>
    <row r="162" spans="1:30">
      <c r="A162" s="19" t="s">
        <v>92</v>
      </c>
      <c r="B162" s="282">
        <v>12.347000000000001</v>
      </c>
      <c r="C162" s="233">
        <v>11.491</v>
      </c>
      <c r="D162" s="233">
        <v>16.448000000000008</v>
      </c>
      <c r="E162" s="233">
        <v>15.435000000000002</v>
      </c>
      <c r="F162" s="233">
        <v>10.399999999999999</v>
      </c>
      <c r="G162" s="233">
        <v>7.9239999999999995</v>
      </c>
      <c r="H162" s="233">
        <v>6.9600000000000009</v>
      </c>
      <c r="I162" s="233">
        <v>10.95</v>
      </c>
      <c r="J162" s="233">
        <v>8.927999999999999</v>
      </c>
      <c r="K162" s="233">
        <v>6.9150000000000009</v>
      </c>
      <c r="L162" s="233">
        <v>13.876999999999995</v>
      </c>
      <c r="M162" s="233">
        <v>9.9110000000000014</v>
      </c>
      <c r="N162" s="233">
        <v>16.275000000000002</v>
      </c>
      <c r="O162" s="233">
        <v>8.1780000000000008</v>
      </c>
      <c r="P162" s="83"/>
      <c r="Q162" s="281">
        <v>23.838000000000001</v>
      </c>
      <c r="R162" s="83">
        <v>11.491</v>
      </c>
      <c r="S162" s="83">
        <v>50.207000000000008</v>
      </c>
      <c r="T162" s="83">
        <v>33.759</v>
      </c>
      <c r="U162" s="83">
        <v>18.323999999999998</v>
      </c>
      <c r="V162" s="83">
        <v>7.9239999999999995</v>
      </c>
      <c r="W162" s="83">
        <v>33.753</v>
      </c>
      <c r="X162" s="83">
        <v>26.792999999999999</v>
      </c>
      <c r="Y162" s="83">
        <v>15.843</v>
      </c>
      <c r="Z162" s="83">
        <v>6.9150000000000009</v>
      </c>
      <c r="AA162" s="83">
        <v>48.241</v>
      </c>
      <c r="AB162" s="83">
        <v>34.364000000000004</v>
      </c>
      <c r="AC162" s="83">
        <v>24.453000000000003</v>
      </c>
      <c r="AD162" s="83">
        <v>8.1780000000000008</v>
      </c>
    </row>
    <row r="163" spans="1:30" ht="27.75" customHeight="1">
      <c r="A163" s="79" t="s">
        <v>507</v>
      </c>
      <c r="B163" s="180">
        <v>0</v>
      </c>
      <c r="C163" s="77">
        <v>0</v>
      </c>
      <c r="D163" s="77">
        <v>0</v>
      </c>
      <c r="E163" s="77">
        <v>0</v>
      </c>
      <c r="F163" s="77">
        <v>0</v>
      </c>
      <c r="G163" s="77">
        <v>0</v>
      </c>
      <c r="H163" s="77">
        <v>0</v>
      </c>
      <c r="I163" s="77">
        <v>0</v>
      </c>
      <c r="J163" s="77">
        <v>0</v>
      </c>
      <c r="K163" s="77">
        <v>0</v>
      </c>
      <c r="L163" s="77">
        <v>0</v>
      </c>
      <c r="M163" s="77">
        <v>0</v>
      </c>
      <c r="N163" s="77">
        <v>0</v>
      </c>
      <c r="O163" s="77">
        <v>0</v>
      </c>
      <c r="P163" s="81"/>
      <c r="Q163" s="280">
        <v>0</v>
      </c>
      <c r="R163" s="81">
        <v>0</v>
      </c>
      <c r="S163" s="81">
        <v>0</v>
      </c>
      <c r="T163" s="81">
        <v>0</v>
      </c>
      <c r="U163" s="81">
        <v>0</v>
      </c>
      <c r="V163" s="81">
        <v>0</v>
      </c>
      <c r="W163" s="81">
        <v>0</v>
      </c>
      <c r="X163" s="81">
        <v>0</v>
      </c>
      <c r="Y163" s="81">
        <v>0</v>
      </c>
      <c r="Z163" s="81">
        <v>0</v>
      </c>
      <c r="AA163" s="81">
        <v>0</v>
      </c>
      <c r="AB163" s="81">
        <v>0</v>
      </c>
      <c r="AC163" s="81">
        <v>0</v>
      </c>
      <c r="AD163" s="81">
        <v>0</v>
      </c>
    </row>
    <row r="164" spans="1:30">
      <c r="A164" s="38" t="s">
        <v>93</v>
      </c>
      <c r="B164" s="180">
        <v>-0.20500000000000002</v>
      </c>
      <c r="C164" s="77">
        <v>3.5999999999999997E-2</v>
      </c>
      <c r="D164" s="77">
        <v>-0.93200000000000005</v>
      </c>
      <c r="E164" s="77">
        <v>1.2999999999999998E-2</v>
      </c>
      <c r="F164" s="77">
        <v>4.0999999999999995E-2</v>
      </c>
      <c r="G164" s="77">
        <v>-5.8999999999999997E-2</v>
      </c>
      <c r="H164" s="77">
        <v>-0.17599999999999999</v>
      </c>
      <c r="I164" s="77">
        <v>-1.8000000000000016E-2</v>
      </c>
      <c r="J164" s="77">
        <v>2.200000000000002E-2</v>
      </c>
      <c r="K164" s="77">
        <v>-0.14000000000000001</v>
      </c>
      <c r="L164" s="77">
        <v>-8.6000000000000021E-2</v>
      </c>
      <c r="M164" s="77">
        <v>-3.0999999999999986E-2</v>
      </c>
      <c r="N164" s="77">
        <v>-0.08</v>
      </c>
      <c r="O164" s="77">
        <v>-3.2000000000000001E-2</v>
      </c>
      <c r="P164" s="81"/>
      <c r="Q164" s="280">
        <v>-0.16900000000000001</v>
      </c>
      <c r="R164" s="81">
        <v>3.5999999999999997E-2</v>
      </c>
      <c r="S164" s="81">
        <v>-0.93700000000000006</v>
      </c>
      <c r="T164" s="81">
        <v>-5.0000000000000001E-3</v>
      </c>
      <c r="U164" s="81">
        <v>-1.7999999999999999E-2</v>
      </c>
      <c r="V164" s="81">
        <v>-5.8999999999999997E-2</v>
      </c>
      <c r="W164" s="81">
        <v>-0.312</v>
      </c>
      <c r="X164" s="81">
        <v>-0.13600000000000001</v>
      </c>
      <c r="Y164" s="81">
        <v>-0.11799999999999999</v>
      </c>
      <c r="Z164" s="81">
        <v>-0.14000000000000001</v>
      </c>
      <c r="AA164" s="81">
        <v>-0.22900000000000001</v>
      </c>
      <c r="AB164" s="81">
        <v>-0.14299999999999999</v>
      </c>
      <c r="AC164" s="81">
        <v>-0.112</v>
      </c>
      <c r="AD164" s="81">
        <v>-3.2000000000000001E-2</v>
      </c>
    </row>
    <row r="165" spans="1:30">
      <c r="A165" s="38" t="s">
        <v>94</v>
      </c>
      <c r="B165" s="180">
        <v>-0.25</v>
      </c>
      <c r="C165" s="77">
        <v>0</v>
      </c>
      <c r="D165" s="77">
        <v>0</v>
      </c>
      <c r="E165" s="77">
        <v>0</v>
      </c>
      <c r="F165" s="77">
        <v>0</v>
      </c>
      <c r="G165" s="77">
        <v>0</v>
      </c>
      <c r="H165" s="77">
        <v>0</v>
      </c>
      <c r="I165" s="77">
        <v>0</v>
      </c>
      <c r="J165" s="77">
        <v>0</v>
      </c>
      <c r="K165" s="77">
        <v>0</v>
      </c>
      <c r="L165" s="77">
        <v>0</v>
      </c>
      <c r="M165" s="77">
        <v>0</v>
      </c>
      <c r="N165" s="77">
        <v>0</v>
      </c>
      <c r="O165" s="77">
        <v>0</v>
      </c>
      <c r="P165" s="81"/>
      <c r="Q165" s="280">
        <v>-0.25</v>
      </c>
      <c r="R165" s="81">
        <v>0</v>
      </c>
      <c r="S165" s="81">
        <v>0</v>
      </c>
      <c r="T165" s="81">
        <v>0</v>
      </c>
      <c r="U165" s="81">
        <v>0</v>
      </c>
      <c r="V165" s="81">
        <v>0</v>
      </c>
      <c r="W165" s="81">
        <v>0</v>
      </c>
      <c r="X165" s="81">
        <v>0</v>
      </c>
      <c r="Y165" s="81">
        <v>0</v>
      </c>
      <c r="Z165" s="81">
        <v>0</v>
      </c>
      <c r="AA165" s="81">
        <v>0</v>
      </c>
      <c r="AB165" s="81">
        <v>0</v>
      </c>
      <c r="AC165" s="81">
        <v>0</v>
      </c>
      <c r="AD165" s="81">
        <v>0</v>
      </c>
    </row>
    <row r="166" spans="1:30">
      <c r="A166" s="38" t="s">
        <v>95</v>
      </c>
      <c r="B166" s="180">
        <v>0</v>
      </c>
      <c r="C166" s="77">
        <v>0</v>
      </c>
      <c r="D166" s="77">
        <v>0</v>
      </c>
      <c r="E166" s="77">
        <v>0</v>
      </c>
      <c r="F166" s="77">
        <v>0</v>
      </c>
      <c r="G166" s="77">
        <v>0</v>
      </c>
      <c r="H166" s="77">
        <v>0</v>
      </c>
      <c r="I166" s="77">
        <v>0</v>
      </c>
      <c r="J166" s="77">
        <v>0</v>
      </c>
      <c r="K166" s="77">
        <v>0</v>
      </c>
      <c r="L166" s="77">
        <v>0</v>
      </c>
      <c r="M166" s="77">
        <v>0</v>
      </c>
      <c r="N166" s="77">
        <v>0</v>
      </c>
      <c r="O166" s="77">
        <v>0</v>
      </c>
      <c r="P166" s="81"/>
      <c r="Q166" s="280">
        <v>0</v>
      </c>
      <c r="R166" s="81">
        <v>0</v>
      </c>
      <c r="S166" s="81">
        <v>0</v>
      </c>
      <c r="T166" s="81">
        <v>0</v>
      </c>
      <c r="U166" s="81">
        <v>0</v>
      </c>
      <c r="V166" s="81">
        <v>0</v>
      </c>
      <c r="W166" s="81">
        <v>0</v>
      </c>
      <c r="X166" s="81">
        <v>0</v>
      </c>
      <c r="Y166" s="81">
        <v>0</v>
      </c>
      <c r="Z166" s="81">
        <v>0</v>
      </c>
      <c r="AA166" s="81">
        <v>0</v>
      </c>
      <c r="AB166" s="81">
        <v>0</v>
      </c>
      <c r="AC166" s="81">
        <v>0</v>
      </c>
      <c r="AD166" s="81">
        <v>0</v>
      </c>
    </row>
    <row r="167" spans="1:30">
      <c r="A167" s="19" t="s">
        <v>96</v>
      </c>
      <c r="B167" s="282">
        <v>11.892000000000001</v>
      </c>
      <c r="C167" s="233">
        <v>11.526999999999999</v>
      </c>
      <c r="D167" s="233">
        <v>15.516000000000012</v>
      </c>
      <c r="E167" s="233">
        <v>15.448</v>
      </c>
      <c r="F167" s="233">
        <v>10.440999999999999</v>
      </c>
      <c r="G167" s="233">
        <v>7.8649999999999993</v>
      </c>
      <c r="H167" s="233">
        <v>6.7840000000000025</v>
      </c>
      <c r="I167" s="233">
        <v>10.932</v>
      </c>
      <c r="J167" s="233">
        <v>8.9499999999999993</v>
      </c>
      <c r="K167" s="233">
        <v>6.7750000000000012</v>
      </c>
      <c r="L167" s="233">
        <v>13.790999999999997</v>
      </c>
      <c r="M167" s="233">
        <v>9.879999999999999</v>
      </c>
      <c r="N167" s="233">
        <v>16.195000000000004</v>
      </c>
      <c r="O167" s="233">
        <v>8.1460000000000008</v>
      </c>
      <c r="P167" s="83"/>
      <c r="Q167" s="281">
        <v>23.419</v>
      </c>
      <c r="R167" s="83">
        <v>11.526999999999999</v>
      </c>
      <c r="S167" s="83">
        <v>49.27000000000001</v>
      </c>
      <c r="T167" s="83">
        <v>33.753999999999998</v>
      </c>
      <c r="U167" s="83">
        <v>18.305999999999997</v>
      </c>
      <c r="V167" s="83">
        <v>7.8649999999999993</v>
      </c>
      <c r="W167" s="83">
        <v>33.441000000000003</v>
      </c>
      <c r="X167" s="83">
        <v>26.657</v>
      </c>
      <c r="Y167" s="83">
        <v>15.725</v>
      </c>
      <c r="Z167" s="83">
        <v>6.7750000000000012</v>
      </c>
      <c r="AA167" s="83">
        <v>48.012</v>
      </c>
      <c r="AB167" s="83">
        <v>34.221000000000004</v>
      </c>
      <c r="AC167" s="83">
        <v>24.341000000000005</v>
      </c>
      <c r="AD167" s="83">
        <v>8.1460000000000008</v>
      </c>
    </row>
    <row r="168" spans="1:30">
      <c r="A168" s="38" t="s">
        <v>45</v>
      </c>
      <c r="B168" s="180">
        <v>-1.67</v>
      </c>
      <c r="C168" s="77">
        <v>-1.7989999999999999</v>
      </c>
      <c r="D168" s="77">
        <v>-3.3</v>
      </c>
      <c r="E168" s="77">
        <v>-1.4529999999999998</v>
      </c>
      <c r="F168" s="77">
        <v>-0.71600000000000008</v>
      </c>
      <c r="G168" s="77">
        <v>-0.35199999999999998</v>
      </c>
      <c r="H168" s="77">
        <v>-0.72700000000000031</v>
      </c>
      <c r="I168" s="77">
        <v>-0.75199999999999978</v>
      </c>
      <c r="J168" s="77">
        <v>-0.66700000000000004</v>
      </c>
      <c r="K168" s="77">
        <v>-0.748</v>
      </c>
      <c r="L168" s="77">
        <v>-1.6019999999999994</v>
      </c>
      <c r="M168" s="77">
        <v>-0.63700000000000023</v>
      </c>
      <c r="N168" s="77">
        <v>-1.6379999999999999</v>
      </c>
      <c r="O168" s="77">
        <v>-0.32400000000000001</v>
      </c>
      <c r="P168" s="81"/>
      <c r="Q168" s="280">
        <v>-3.4689999999999999</v>
      </c>
      <c r="R168" s="81">
        <v>-1.7989999999999999</v>
      </c>
      <c r="S168" s="81">
        <v>-5.8209999999999997</v>
      </c>
      <c r="T168" s="81">
        <v>-2.5209999999999999</v>
      </c>
      <c r="U168" s="81">
        <v>-1.0680000000000001</v>
      </c>
      <c r="V168" s="81">
        <v>-0.35199999999999998</v>
      </c>
      <c r="W168" s="81">
        <v>-2.8940000000000001</v>
      </c>
      <c r="X168" s="81">
        <v>-2.1669999999999998</v>
      </c>
      <c r="Y168" s="81">
        <v>-1.415</v>
      </c>
      <c r="Z168" s="81">
        <v>-0.748</v>
      </c>
      <c r="AA168" s="81">
        <v>-4.2009999999999996</v>
      </c>
      <c r="AB168" s="81">
        <v>-2.5990000000000002</v>
      </c>
      <c r="AC168" s="81">
        <v>-1.962</v>
      </c>
      <c r="AD168" s="81">
        <v>-0.32400000000000001</v>
      </c>
    </row>
    <row r="169" spans="1:30">
      <c r="A169" s="38" t="s">
        <v>97</v>
      </c>
      <c r="B169" s="180">
        <v>0</v>
      </c>
      <c r="C169" s="77">
        <v>0</v>
      </c>
      <c r="D169" s="77">
        <v>0</v>
      </c>
      <c r="E169" s="77">
        <v>0</v>
      </c>
      <c r="F169" s="77">
        <v>0</v>
      </c>
      <c r="G169" s="77">
        <v>0</v>
      </c>
      <c r="H169" s="77">
        <v>0</v>
      </c>
      <c r="I169" s="77">
        <v>0</v>
      </c>
      <c r="J169" s="77">
        <v>0</v>
      </c>
      <c r="K169" s="77">
        <v>0</v>
      </c>
      <c r="L169" s="77">
        <v>0</v>
      </c>
      <c r="M169" s="77">
        <v>0</v>
      </c>
      <c r="N169" s="77">
        <v>0</v>
      </c>
      <c r="O169" s="77">
        <v>0</v>
      </c>
      <c r="P169" s="81"/>
      <c r="Q169" s="280">
        <v>0</v>
      </c>
      <c r="R169" s="81">
        <v>0</v>
      </c>
      <c r="S169" s="81">
        <v>0</v>
      </c>
      <c r="T169" s="81">
        <v>0</v>
      </c>
      <c r="U169" s="81">
        <v>0</v>
      </c>
      <c r="V169" s="81">
        <v>0</v>
      </c>
      <c r="W169" s="81">
        <v>0</v>
      </c>
      <c r="X169" s="81">
        <v>0</v>
      </c>
      <c r="Y169" s="81">
        <v>0</v>
      </c>
      <c r="Z169" s="81">
        <v>0</v>
      </c>
      <c r="AA169" s="81">
        <v>0</v>
      </c>
      <c r="AB169" s="81">
        <v>0</v>
      </c>
      <c r="AC169" s="81">
        <v>0</v>
      </c>
      <c r="AD169" s="81">
        <v>0</v>
      </c>
    </row>
    <row r="170" spans="1:30">
      <c r="A170" s="19" t="s">
        <v>98</v>
      </c>
      <c r="B170" s="282">
        <v>10.222</v>
      </c>
      <c r="C170" s="233">
        <v>9.7279999999999998</v>
      </c>
      <c r="D170" s="233">
        <v>12.216000000000015</v>
      </c>
      <c r="E170" s="233">
        <v>13.995000000000001</v>
      </c>
      <c r="F170" s="233">
        <v>9.7249999999999979</v>
      </c>
      <c r="G170" s="233">
        <v>7.512999999999999</v>
      </c>
      <c r="H170" s="233">
        <v>6.0570000000000022</v>
      </c>
      <c r="I170" s="233">
        <v>10.180000000000003</v>
      </c>
      <c r="J170" s="233">
        <v>8.2829999999999977</v>
      </c>
      <c r="K170" s="233">
        <v>6.027000000000001</v>
      </c>
      <c r="L170" s="233">
        <v>12.188999999999997</v>
      </c>
      <c r="M170" s="233">
        <v>9.2429999999999986</v>
      </c>
      <c r="N170" s="233">
        <v>14.557000000000004</v>
      </c>
      <c r="O170" s="233">
        <v>7.822000000000001</v>
      </c>
      <c r="P170" s="83"/>
      <c r="Q170" s="281">
        <v>19.95</v>
      </c>
      <c r="R170" s="83">
        <v>9.7279999999999998</v>
      </c>
      <c r="S170" s="83">
        <v>43.449000000000012</v>
      </c>
      <c r="T170" s="83">
        <v>31.232999999999997</v>
      </c>
      <c r="U170" s="83">
        <v>17.237999999999996</v>
      </c>
      <c r="V170" s="83">
        <v>7.512999999999999</v>
      </c>
      <c r="W170" s="83">
        <v>30.547000000000004</v>
      </c>
      <c r="X170" s="83">
        <v>24.490000000000002</v>
      </c>
      <c r="Y170" s="83">
        <v>14.309999999999999</v>
      </c>
      <c r="Z170" s="83">
        <v>6.027000000000001</v>
      </c>
      <c r="AA170" s="83">
        <v>43.811</v>
      </c>
      <c r="AB170" s="83">
        <v>31.622000000000003</v>
      </c>
      <c r="AC170" s="83">
        <v>22.379000000000005</v>
      </c>
      <c r="AD170" s="83">
        <v>7.822000000000001</v>
      </c>
    </row>
    <row r="171" spans="1:30">
      <c r="A171" s="24"/>
      <c r="B171" s="24"/>
      <c r="C171" s="24"/>
      <c r="D171" s="24"/>
      <c r="E171" s="24"/>
      <c r="F171" s="24"/>
      <c r="G171" s="24"/>
      <c r="H171" s="24"/>
      <c r="I171" s="24"/>
      <c r="J171" s="24"/>
      <c r="K171" s="24"/>
      <c r="L171" s="24"/>
      <c r="M171" s="24"/>
      <c r="N171" s="24"/>
      <c r="O171" s="24"/>
      <c r="P171" s="86"/>
      <c r="Q171" s="86"/>
      <c r="R171" s="86"/>
      <c r="S171" s="86"/>
      <c r="T171" s="86"/>
      <c r="U171" s="86"/>
      <c r="V171" s="86"/>
      <c r="W171" s="86"/>
      <c r="X171" s="86"/>
      <c r="Y171" s="86"/>
      <c r="Z171" s="86"/>
      <c r="AA171" s="86"/>
      <c r="AB171" s="86"/>
      <c r="AC171" s="86"/>
      <c r="AD171" s="86"/>
    </row>
    <row r="172" spans="1:30">
      <c r="A172" s="19" t="s">
        <v>33</v>
      </c>
      <c r="B172" s="75" t="s">
        <v>552</v>
      </c>
      <c r="C172" s="75" t="s">
        <v>500</v>
      </c>
      <c r="D172" s="75" t="s">
        <v>444</v>
      </c>
      <c r="E172" s="75" t="s">
        <v>441</v>
      </c>
      <c r="F172" s="75" t="s">
        <v>424</v>
      </c>
      <c r="G172" s="75" t="s">
        <v>370</v>
      </c>
      <c r="H172" s="75" t="s">
        <v>364</v>
      </c>
      <c r="I172" s="75" t="s">
        <v>335</v>
      </c>
      <c r="J172" s="75" t="s">
        <v>327</v>
      </c>
      <c r="K172" s="75" t="s">
        <v>320</v>
      </c>
      <c r="L172" s="75" t="s">
        <v>313</v>
      </c>
      <c r="M172" s="75" t="s">
        <v>285</v>
      </c>
      <c r="N172" s="75" t="s">
        <v>278</v>
      </c>
      <c r="O172" s="75" t="s">
        <v>273</v>
      </c>
      <c r="P172" s="75"/>
      <c r="Q172" s="75" t="s">
        <v>553</v>
      </c>
      <c r="R172" s="75" t="s">
        <v>501</v>
      </c>
      <c r="S172" s="75" t="s">
        <v>445</v>
      </c>
      <c r="T172" s="75" t="s">
        <v>442</v>
      </c>
      <c r="U172" s="75" t="s">
        <v>425</v>
      </c>
      <c r="V172" s="75" t="s">
        <v>371</v>
      </c>
      <c r="W172" s="75" t="s">
        <v>365</v>
      </c>
      <c r="X172" s="75" t="s">
        <v>336</v>
      </c>
      <c r="Y172" s="75" t="s">
        <v>328</v>
      </c>
      <c r="Z172" s="75" t="s">
        <v>321</v>
      </c>
      <c r="AA172" s="75" t="s">
        <v>314</v>
      </c>
      <c r="AB172" s="75" t="s">
        <v>286</v>
      </c>
      <c r="AC172" s="75" t="s">
        <v>279</v>
      </c>
      <c r="AD172" s="75" t="s">
        <v>274</v>
      </c>
    </row>
    <row r="173" spans="1:30">
      <c r="A173" s="21" t="s">
        <v>437</v>
      </c>
      <c r="B173" s="21"/>
      <c r="C173" s="21"/>
      <c r="D173" s="21"/>
      <c r="E173" s="21"/>
      <c r="F173" s="21"/>
      <c r="G173" s="21"/>
      <c r="H173" s="21"/>
      <c r="I173" s="21"/>
      <c r="J173" s="21"/>
      <c r="K173" s="21"/>
      <c r="L173" s="21"/>
      <c r="M173" s="21"/>
      <c r="N173" s="21"/>
      <c r="O173" s="21"/>
      <c r="P173" s="85"/>
      <c r="Q173" s="85"/>
      <c r="R173" s="85"/>
      <c r="S173" s="85"/>
      <c r="T173" s="85"/>
      <c r="U173" s="85"/>
      <c r="V173" s="85"/>
      <c r="W173" s="85"/>
      <c r="X173" s="85"/>
      <c r="Y173" s="85"/>
      <c r="Z173" s="85"/>
      <c r="AA173" s="85"/>
      <c r="AB173" s="85"/>
      <c r="AC173" s="85"/>
      <c r="AD173" s="85"/>
    </row>
    <row r="174" spans="1:30">
      <c r="A174" s="38" t="s">
        <v>34</v>
      </c>
      <c r="B174" s="180">
        <v>25.146999999999998</v>
      </c>
      <c r="C174" s="77">
        <v>25.814</v>
      </c>
      <c r="D174" s="77">
        <v>26.347000000000001</v>
      </c>
      <c r="E174" s="77">
        <v>25.881999999999998</v>
      </c>
      <c r="F174" s="77">
        <v>23.598000000000003</v>
      </c>
      <c r="G174" s="77">
        <v>13.587</v>
      </c>
      <c r="H174" s="77">
        <v>8.7330000000000005</v>
      </c>
      <c r="I174" s="77">
        <v>5.1030000000000015</v>
      </c>
      <c r="J174" s="77">
        <v>6.666999999999998</v>
      </c>
      <c r="K174" s="77">
        <v>17.506</v>
      </c>
      <c r="L174" s="77">
        <v>8.5429999999999993</v>
      </c>
      <c r="M174" s="77">
        <v>7.1449999999999996</v>
      </c>
      <c r="N174" s="77">
        <v>22.783000000000001</v>
      </c>
      <c r="O174" s="77">
        <v>-3.4489999999999998</v>
      </c>
      <c r="P174" s="81"/>
      <c r="Q174" s="280">
        <v>50.960999999999999</v>
      </c>
      <c r="R174" s="81">
        <v>25.814</v>
      </c>
      <c r="S174" s="81">
        <v>89.414000000000001</v>
      </c>
      <c r="T174" s="81">
        <v>63.067</v>
      </c>
      <c r="U174" s="81">
        <v>37.185000000000002</v>
      </c>
      <c r="V174" s="81">
        <v>13.587</v>
      </c>
      <c r="W174" s="81">
        <v>38.009</v>
      </c>
      <c r="X174" s="81">
        <v>29.276</v>
      </c>
      <c r="Y174" s="81">
        <v>24.172999999999998</v>
      </c>
      <c r="Z174" s="81">
        <v>17.506</v>
      </c>
      <c r="AA174" s="81">
        <v>35.021999999999998</v>
      </c>
      <c r="AB174" s="81">
        <v>26.478999999999999</v>
      </c>
      <c r="AC174" s="81">
        <v>19.334</v>
      </c>
      <c r="AD174" s="81">
        <v>-3.4489999999999998</v>
      </c>
    </row>
    <row r="175" spans="1:30">
      <c r="A175" s="38" t="s">
        <v>91</v>
      </c>
      <c r="B175" s="180">
        <v>1.2199999999999998</v>
      </c>
      <c r="C175" s="77">
        <v>1.4830000000000001</v>
      </c>
      <c r="D175" s="77">
        <v>1.1700000000000004</v>
      </c>
      <c r="E175" s="77">
        <v>1.113</v>
      </c>
      <c r="F175" s="77">
        <v>1.016</v>
      </c>
      <c r="G175" s="77">
        <v>1.173</v>
      </c>
      <c r="H175" s="77">
        <v>1.3109999999999999</v>
      </c>
      <c r="I175" s="77">
        <v>0.91299999999999981</v>
      </c>
      <c r="J175" s="77">
        <v>1.1230000000000002</v>
      </c>
      <c r="K175" s="77">
        <v>0.97699999999999998</v>
      </c>
      <c r="L175" s="77">
        <v>0.69700000000000029</v>
      </c>
      <c r="M175" s="77">
        <v>0.82799999999999996</v>
      </c>
      <c r="N175" s="77">
        <v>0.43099999999999999</v>
      </c>
      <c r="O175" s="77">
        <v>0.41299999999999998</v>
      </c>
      <c r="P175" s="81"/>
      <c r="Q175" s="280">
        <v>2.7029999999999998</v>
      </c>
      <c r="R175" s="81">
        <v>1.4830000000000001</v>
      </c>
      <c r="S175" s="81">
        <v>4.4720000000000004</v>
      </c>
      <c r="T175" s="81">
        <v>3.302</v>
      </c>
      <c r="U175" s="81">
        <v>2.1890000000000001</v>
      </c>
      <c r="V175" s="81">
        <v>1.173</v>
      </c>
      <c r="W175" s="81">
        <v>4.3239999999999998</v>
      </c>
      <c r="X175" s="81">
        <v>3.0129999999999999</v>
      </c>
      <c r="Y175" s="81">
        <v>2.1</v>
      </c>
      <c r="Z175" s="81">
        <v>0.97699999999999998</v>
      </c>
      <c r="AA175" s="81">
        <v>2.3690000000000002</v>
      </c>
      <c r="AB175" s="81">
        <v>1.6719999999999999</v>
      </c>
      <c r="AC175" s="81">
        <v>0.84399999999999997</v>
      </c>
      <c r="AD175" s="81">
        <v>0.41299999999999998</v>
      </c>
    </row>
    <row r="176" spans="1:30">
      <c r="A176" s="38" t="s">
        <v>36</v>
      </c>
      <c r="B176" s="180">
        <v>2.847</v>
      </c>
      <c r="C176" s="77">
        <v>2.4159999999999999</v>
      </c>
      <c r="D176" s="77">
        <v>3.8450000000000006</v>
      </c>
      <c r="E176" s="77">
        <v>0.97100000000000009</v>
      </c>
      <c r="F176" s="77">
        <v>4.2329999999999997</v>
      </c>
      <c r="G176" s="77">
        <v>3.758</v>
      </c>
      <c r="H176" s="77">
        <v>4.8350000000000009</v>
      </c>
      <c r="I176" s="77">
        <v>4.5270000000000001</v>
      </c>
      <c r="J176" s="77">
        <v>2.4179999999999993</v>
      </c>
      <c r="K176" s="77">
        <v>4.2670000000000003</v>
      </c>
      <c r="L176" s="77">
        <v>2.1950000000000003</v>
      </c>
      <c r="M176" s="77">
        <v>5.0090000000000003</v>
      </c>
      <c r="N176" s="77">
        <v>5.4879999999999995</v>
      </c>
      <c r="O176" s="77">
        <v>8.0640000000000001</v>
      </c>
      <c r="P176" s="81"/>
      <c r="Q176" s="280">
        <v>5.2629999999999999</v>
      </c>
      <c r="R176" s="81">
        <v>2.4159999999999999</v>
      </c>
      <c r="S176" s="81">
        <v>12.807</v>
      </c>
      <c r="T176" s="81">
        <v>8.9619999999999997</v>
      </c>
      <c r="U176" s="81">
        <v>7.9909999999999997</v>
      </c>
      <c r="V176" s="81">
        <v>3.758</v>
      </c>
      <c r="W176" s="81">
        <v>16.047000000000001</v>
      </c>
      <c r="X176" s="81">
        <v>11.212</v>
      </c>
      <c r="Y176" s="81">
        <v>6.6849999999999996</v>
      </c>
      <c r="Z176" s="81">
        <v>4.2670000000000003</v>
      </c>
      <c r="AA176" s="81">
        <v>20.756</v>
      </c>
      <c r="AB176" s="81">
        <v>18.561</v>
      </c>
      <c r="AC176" s="81">
        <v>13.552</v>
      </c>
      <c r="AD176" s="81">
        <v>8.0640000000000001</v>
      </c>
    </row>
    <row r="177" spans="1:30">
      <c r="A177" s="19" t="s">
        <v>37</v>
      </c>
      <c r="B177" s="282">
        <v>29.213999999999999</v>
      </c>
      <c r="C177" s="233">
        <v>29.713000000000001</v>
      </c>
      <c r="D177" s="233">
        <v>31.361999999999995</v>
      </c>
      <c r="E177" s="233">
        <v>27.966000000000001</v>
      </c>
      <c r="F177" s="233">
        <v>28.847000000000001</v>
      </c>
      <c r="G177" s="233">
        <v>18.518000000000001</v>
      </c>
      <c r="H177" s="233">
        <v>14.878999999999991</v>
      </c>
      <c r="I177" s="233">
        <v>10.543000000000006</v>
      </c>
      <c r="J177" s="233">
        <v>10.207999999999998</v>
      </c>
      <c r="K177" s="233">
        <v>22.75</v>
      </c>
      <c r="L177" s="233">
        <v>11.434999999999995</v>
      </c>
      <c r="M177" s="233">
        <v>12.981999999999999</v>
      </c>
      <c r="N177" s="233">
        <v>28.702000000000005</v>
      </c>
      <c r="O177" s="233">
        <v>5.0280000000000005</v>
      </c>
      <c r="P177" s="83"/>
      <c r="Q177" s="281">
        <v>58.927</v>
      </c>
      <c r="R177" s="83">
        <v>29.713000000000001</v>
      </c>
      <c r="S177" s="83">
        <v>106.693</v>
      </c>
      <c r="T177" s="83">
        <v>75.331000000000003</v>
      </c>
      <c r="U177" s="83">
        <v>47.365000000000002</v>
      </c>
      <c r="V177" s="83">
        <v>18.518000000000001</v>
      </c>
      <c r="W177" s="83">
        <v>58.379999999999995</v>
      </c>
      <c r="X177" s="83">
        <v>43.501000000000005</v>
      </c>
      <c r="Y177" s="83">
        <v>32.957999999999998</v>
      </c>
      <c r="Z177" s="83">
        <v>22.75</v>
      </c>
      <c r="AA177" s="83">
        <v>58.146999999999998</v>
      </c>
      <c r="AB177" s="83">
        <v>46.712000000000003</v>
      </c>
      <c r="AC177" s="83">
        <v>33.730000000000004</v>
      </c>
      <c r="AD177" s="83">
        <v>5.0280000000000005</v>
      </c>
    </row>
    <row r="178" spans="1:30">
      <c r="A178" s="19" t="s">
        <v>40</v>
      </c>
      <c r="B178" s="282">
        <v>-4.3699999999999992</v>
      </c>
      <c r="C178" s="233">
        <v>-4.2629999999999999</v>
      </c>
      <c r="D178" s="233">
        <v>-4.9350000000000023</v>
      </c>
      <c r="E178" s="233">
        <v>-3.7119999999999997</v>
      </c>
      <c r="F178" s="233">
        <v>-4.1489999999999991</v>
      </c>
      <c r="G178" s="233">
        <v>-3.9380000000000002</v>
      </c>
      <c r="H178" s="233">
        <v>-4.4489999999999998</v>
      </c>
      <c r="I178" s="233">
        <v>-3.7389999999999999</v>
      </c>
      <c r="J178" s="233">
        <v>-4.1389999999999993</v>
      </c>
      <c r="K178" s="233">
        <v>-3.6960000000000002</v>
      </c>
      <c r="L178" s="233">
        <v>-3.2620000000000005</v>
      </c>
      <c r="M178" s="233">
        <v>-2.056</v>
      </c>
      <c r="N178" s="233">
        <v>-2.4070000000000005</v>
      </c>
      <c r="O178" s="233">
        <v>-2.5169999999999999</v>
      </c>
      <c r="P178" s="83"/>
      <c r="Q178" s="281">
        <v>-8.6329999999999991</v>
      </c>
      <c r="R178" s="83">
        <v>-4.2629999999999999</v>
      </c>
      <c r="S178" s="83">
        <v>-16.734000000000002</v>
      </c>
      <c r="T178" s="83">
        <v>-11.798999999999999</v>
      </c>
      <c r="U178" s="83">
        <v>-8.0869999999999997</v>
      </c>
      <c r="V178" s="83">
        <v>-3.9380000000000002</v>
      </c>
      <c r="W178" s="83">
        <v>-16.023</v>
      </c>
      <c r="X178" s="83">
        <v>-11.574</v>
      </c>
      <c r="Y178" s="83">
        <v>-7.835</v>
      </c>
      <c r="Z178" s="83">
        <v>-3.6960000000000002</v>
      </c>
      <c r="AA178" s="83">
        <v>-10.242000000000001</v>
      </c>
      <c r="AB178" s="83">
        <v>-6.98</v>
      </c>
      <c r="AC178" s="83">
        <v>-4.9240000000000004</v>
      </c>
      <c r="AD178" s="83">
        <v>-2.5169999999999999</v>
      </c>
    </row>
    <row r="179" spans="1:30">
      <c r="A179" s="19" t="s">
        <v>92</v>
      </c>
      <c r="B179" s="282">
        <v>24.843999999999994</v>
      </c>
      <c r="C179" s="233">
        <v>25.450000000000003</v>
      </c>
      <c r="D179" s="233">
        <v>26.427</v>
      </c>
      <c r="E179" s="233">
        <v>24.253999999999998</v>
      </c>
      <c r="F179" s="233">
        <v>24.698000000000008</v>
      </c>
      <c r="G179" s="233">
        <v>14.58</v>
      </c>
      <c r="H179" s="233">
        <v>10.429999999999993</v>
      </c>
      <c r="I179" s="233">
        <v>6.8040000000000092</v>
      </c>
      <c r="J179" s="233">
        <v>6.0689999999999991</v>
      </c>
      <c r="K179" s="233">
        <v>19.053999999999998</v>
      </c>
      <c r="L179" s="233">
        <v>8.1730000000000018</v>
      </c>
      <c r="M179" s="233">
        <v>10.925999999999995</v>
      </c>
      <c r="N179" s="233">
        <v>26.295000000000005</v>
      </c>
      <c r="O179" s="233">
        <v>2.5110000000000006</v>
      </c>
      <c r="P179" s="83"/>
      <c r="Q179" s="281">
        <v>50.293999999999997</v>
      </c>
      <c r="R179" s="83">
        <v>25.450000000000003</v>
      </c>
      <c r="S179" s="83">
        <v>89.959000000000003</v>
      </c>
      <c r="T179" s="83">
        <v>63.532000000000004</v>
      </c>
      <c r="U179" s="83">
        <v>39.278000000000006</v>
      </c>
      <c r="V179" s="83">
        <v>14.58</v>
      </c>
      <c r="W179" s="83">
        <v>42.356999999999999</v>
      </c>
      <c r="X179" s="83">
        <v>31.927000000000007</v>
      </c>
      <c r="Y179" s="83">
        <v>25.122999999999998</v>
      </c>
      <c r="Z179" s="83">
        <v>19.053999999999998</v>
      </c>
      <c r="AA179" s="83">
        <v>47.905000000000001</v>
      </c>
      <c r="AB179" s="83">
        <v>39.731999999999999</v>
      </c>
      <c r="AC179" s="83">
        <v>28.806000000000004</v>
      </c>
      <c r="AD179" s="83">
        <v>2.5110000000000006</v>
      </c>
    </row>
    <row r="180" spans="1:30" ht="36.75">
      <c r="A180" s="79" t="s">
        <v>507</v>
      </c>
      <c r="B180" s="180">
        <v>0</v>
      </c>
      <c r="C180" s="77">
        <v>0</v>
      </c>
      <c r="D180" s="77">
        <v>0</v>
      </c>
      <c r="E180" s="77">
        <v>0</v>
      </c>
      <c r="F180" s="77">
        <v>0</v>
      </c>
      <c r="G180" s="77">
        <v>0</v>
      </c>
      <c r="H180" s="77">
        <v>0.379</v>
      </c>
      <c r="I180" s="77">
        <v>-9.9999999999999978E-2</v>
      </c>
      <c r="J180" s="77">
        <v>-9.1000000000000025E-2</v>
      </c>
      <c r="K180" s="77">
        <v>-0.188</v>
      </c>
      <c r="L180" s="77">
        <v>0</v>
      </c>
      <c r="M180" s="77">
        <v>0</v>
      </c>
      <c r="N180" s="77">
        <v>0</v>
      </c>
      <c r="O180" s="77">
        <v>0</v>
      </c>
      <c r="P180" s="81"/>
      <c r="Q180" s="280">
        <v>0</v>
      </c>
      <c r="R180" s="81">
        <v>0</v>
      </c>
      <c r="S180" s="81">
        <v>0</v>
      </c>
      <c r="T180" s="81">
        <v>0</v>
      </c>
      <c r="U180" s="81">
        <v>0</v>
      </c>
      <c r="V180" s="81">
        <v>0</v>
      </c>
      <c r="W180" s="81">
        <v>0</v>
      </c>
      <c r="X180" s="81">
        <v>-0.379</v>
      </c>
      <c r="Y180" s="81">
        <v>-0.27900000000000003</v>
      </c>
      <c r="Z180" s="81">
        <v>-0.188</v>
      </c>
      <c r="AA180" s="81">
        <v>0</v>
      </c>
      <c r="AB180" s="81">
        <v>0</v>
      </c>
      <c r="AC180" s="81">
        <v>0</v>
      </c>
      <c r="AD180" s="81">
        <v>0</v>
      </c>
    </row>
    <row r="181" spans="1:30">
      <c r="A181" s="38" t="s">
        <v>93</v>
      </c>
      <c r="B181" s="180">
        <v>0</v>
      </c>
      <c r="C181" s="77">
        <v>0</v>
      </c>
      <c r="D181" s="77">
        <v>5.0000000000000017E-2</v>
      </c>
      <c r="E181" s="77">
        <v>0.11199999999999999</v>
      </c>
      <c r="F181" s="77">
        <v>-9.4999999999999987E-2</v>
      </c>
      <c r="G181" s="77">
        <v>0.10199999999999999</v>
      </c>
      <c r="H181" s="77">
        <v>0.879</v>
      </c>
      <c r="I181" s="77">
        <v>0</v>
      </c>
      <c r="J181" s="77">
        <v>0</v>
      </c>
      <c r="K181" s="77">
        <v>0</v>
      </c>
      <c r="L181" s="77">
        <v>0</v>
      </c>
      <c r="M181" s="77">
        <v>0</v>
      </c>
      <c r="N181" s="77">
        <v>0</v>
      </c>
      <c r="O181" s="77">
        <v>0</v>
      </c>
      <c r="P181" s="81"/>
      <c r="Q181" s="280">
        <v>0</v>
      </c>
      <c r="R181" s="81">
        <v>0</v>
      </c>
      <c r="S181" s="81">
        <v>0.16900000000000001</v>
      </c>
      <c r="T181" s="81">
        <v>0.11899999999999999</v>
      </c>
      <c r="U181" s="81">
        <v>7.0000000000000001E-3</v>
      </c>
      <c r="V181" s="81">
        <v>0.10199999999999999</v>
      </c>
      <c r="W181" s="81">
        <v>0.879</v>
      </c>
      <c r="X181" s="81">
        <v>0</v>
      </c>
      <c r="Y181" s="81">
        <v>0</v>
      </c>
      <c r="Z181" s="81">
        <v>0</v>
      </c>
      <c r="AA181" s="81">
        <v>0</v>
      </c>
      <c r="AB181" s="81">
        <v>0</v>
      </c>
      <c r="AC181" s="81">
        <v>0</v>
      </c>
      <c r="AD181" s="81">
        <v>0</v>
      </c>
    </row>
    <row r="182" spans="1:30">
      <c r="A182" s="38" t="s">
        <v>94</v>
      </c>
      <c r="B182" s="180">
        <v>0</v>
      </c>
      <c r="C182" s="77">
        <v>0</v>
      </c>
      <c r="D182" s="77">
        <v>0</v>
      </c>
      <c r="E182" s="77">
        <v>0</v>
      </c>
      <c r="F182" s="77">
        <v>0</v>
      </c>
      <c r="G182" s="77">
        <v>0</v>
      </c>
      <c r="H182" s="77">
        <v>0</v>
      </c>
      <c r="I182" s="77">
        <v>0</v>
      </c>
      <c r="J182" s="77">
        <v>0</v>
      </c>
      <c r="K182" s="77">
        <v>0</v>
      </c>
      <c r="L182" s="77">
        <v>0</v>
      </c>
      <c r="M182" s="77">
        <v>0</v>
      </c>
      <c r="N182" s="77">
        <v>0</v>
      </c>
      <c r="O182" s="77">
        <v>0</v>
      </c>
      <c r="P182" s="81"/>
      <c r="Q182" s="280">
        <v>0</v>
      </c>
      <c r="R182" s="81">
        <v>0</v>
      </c>
      <c r="S182" s="81">
        <v>0</v>
      </c>
      <c r="T182" s="81">
        <v>0</v>
      </c>
      <c r="U182" s="81">
        <v>0</v>
      </c>
      <c r="V182" s="81">
        <v>0</v>
      </c>
      <c r="W182" s="81">
        <v>0</v>
      </c>
      <c r="X182" s="81">
        <v>0</v>
      </c>
      <c r="Y182" s="81">
        <v>0</v>
      </c>
      <c r="Z182" s="81">
        <v>0</v>
      </c>
      <c r="AA182" s="81">
        <v>0</v>
      </c>
      <c r="AB182" s="81">
        <v>0</v>
      </c>
      <c r="AC182" s="81">
        <v>0</v>
      </c>
      <c r="AD182" s="81">
        <v>0</v>
      </c>
    </row>
    <row r="183" spans="1:30">
      <c r="A183" s="38" t="s">
        <v>95</v>
      </c>
      <c r="B183" s="180">
        <v>0</v>
      </c>
      <c r="C183" s="77">
        <v>0</v>
      </c>
      <c r="D183" s="77">
        <v>0</v>
      </c>
      <c r="E183" s="77">
        <v>0</v>
      </c>
      <c r="F183" s="77">
        <v>0</v>
      </c>
      <c r="G183" s="77">
        <v>0</v>
      </c>
      <c r="H183" s="77">
        <v>0</v>
      </c>
      <c r="I183" s="77">
        <v>0</v>
      </c>
      <c r="J183" s="77">
        <v>0</v>
      </c>
      <c r="K183" s="77">
        <v>0</v>
      </c>
      <c r="L183" s="77">
        <v>0</v>
      </c>
      <c r="M183" s="77">
        <v>0</v>
      </c>
      <c r="N183" s="77">
        <v>0</v>
      </c>
      <c r="O183" s="77">
        <v>0</v>
      </c>
      <c r="P183" s="81"/>
      <c r="Q183" s="280">
        <v>0</v>
      </c>
      <c r="R183" s="81">
        <v>0</v>
      </c>
      <c r="S183" s="81">
        <v>0</v>
      </c>
      <c r="T183" s="81">
        <v>0</v>
      </c>
      <c r="U183" s="81">
        <v>0</v>
      </c>
      <c r="V183" s="81">
        <v>0</v>
      </c>
      <c r="W183" s="81">
        <v>0</v>
      </c>
      <c r="X183" s="81">
        <v>0</v>
      </c>
      <c r="Y183" s="81">
        <v>0</v>
      </c>
      <c r="Z183" s="81">
        <v>0</v>
      </c>
      <c r="AA183" s="81">
        <v>0</v>
      </c>
      <c r="AB183" s="81">
        <v>0</v>
      </c>
      <c r="AC183" s="81">
        <v>0</v>
      </c>
      <c r="AD183" s="81">
        <v>0</v>
      </c>
    </row>
    <row r="184" spans="1:30">
      <c r="A184" s="19" t="s">
        <v>96</v>
      </c>
      <c r="B184" s="282">
        <v>24.843999999999994</v>
      </c>
      <c r="C184" s="233">
        <v>25.450000000000003</v>
      </c>
      <c r="D184" s="233">
        <v>26.476999999999997</v>
      </c>
      <c r="E184" s="233">
        <v>24.366</v>
      </c>
      <c r="F184" s="233">
        <v>24.603000000000002</v>
      </c>
      <c r="G184" s="233">
        <v>14.682</v>
      </c>
      <c r="H184" s="233">
        <v>11.687999999999992</v>
      </c>
      <c r="I184" s="233">
        <v>6.7040000000000077</v>
      </c>
      <c r="J184" s="233">
        <v>5.977999999999998</v>
      </c>
      <c r="K184" s="233">
        <v>18.866</v>
      </c>
      <c r="L184" s="233">
        <v>8.1730000000000018</v>
      </c>
      <c r="M184" s="233">
        <v>10.925999999999995</v>
      </c>
      <c r="N184" s="233">
        <v>26.295000000000005</v>
      </c>
      <c r="O184" s="233">
        <v>2.5110000000000006</v>
      </c>
      <c r="P184" s="83"/>
      <c r="Q184" s="281">
        <v>50.293999999999997</v>
      </c>
      <c r="R184" s="83">
        <v>25.450000000000003</v>
      </c>
      <c r="S184" s="83">
        <v>90.128</v>
      </c>
      <c r="T184" s="83">
        <v>63.651000000000003</v>
      </c>
      <c r="U184" s="83">
        <v>39.285000000000004</v>
      </c>
      <c r="V184" s="83">
        <v>14.682</v>
      </c>
      <c r="W184" s="83">
        <v>43.235999999999997</v>
      </c>
      <c r="X184" s="83">
        <v>31.548000000000005</v>
      </c>
      <c r="Y184" s="83">
        <v>24.843999999999998</v>
      </c>
      <c r="Z184" s="83">
        <v>18.866</v>
      </c>
      <c r="AA184" s="83">
        <v>47.905000000000001</v>
      </c>
      <c r="AB184" s="83">
        <v>39.731999999999999</v>
      </c>
      <c r="AC184" s="83">
        <v>28.806000000000004</v>
      </c>
      <c r="AD184" s="83">
        <v>2.5110000000000006</v>
      </c>
    </row>
    <row r="185" spans="1:30">
      <c r="A185" s="38" t="s">
        <v>45</v>
      </c>
      <c r="B185" s="180">
        <v>-3.7269999999999994</v>
      </c>
      <c r="C185" s="77">
        <v>-3.8170000000000002</v>
      </c>
      <c r="D185" s="77">
        <v>-0.78162499999999913</v>
      </c>
      <c r="E185" s="77">
        <v>-3.04575</v>
      </c>
      <c r="F185" s="77">
        <v>-3.0753750000000002</v>
      </c>
      <c r="G185" s="77">
        <v>-1.83525</v>
      </c>
      <c r="H185" s="77">
        <v>-0.67229999999999901</v>
      </c>
      <c r="I185" s="77">
        <v>-1.0056000000000012</v>
      </c>
      <c r="J185" s="77">
        <v>-0.89669999999999961</v>
      </c>
      <c r="K185" s="77">
        <v>-2.8298999999999999</v>
      </c>
      <c r="L185" s="77">
        <v>-1.0216250000000002</v>
      </c>
      <c r="M185" s="77">
        <v>-1.3657499999999994</v>
      </c>
      <c r="N185" s="77">
        <v>-3.2868750000000007</v>
      </c>
      <c r="O185" s="77">
        <v>-0.31387500000000007</v>
      </c>
      <c r="P185" s="81"/>
      <c r="Q185" s="280">
        <v>-7.5439999999999996</v>
      </c>
      <c r="R185" s="81">
        <v>-3.8170000000000002</v>
      </c>
      <c r="S185" s="81">
        <v>-8.7379999999999995</v>
      </c>
      <c r="T185" s="81">
        <v>-7.9563750000000004</v>
      </c>
      <c r="U185" s="81">
        <v>-4.9106250000000005</v>
      </c>
      <c r="V185" s="81">
        <v>-1.83525</v>
      </c>
      <c r="W185" s="81">
        <v>-5.4044999999999996</v>
      </c>
      <c r="X185" s="81">
        <v>-4.7322000000000006</v>
      </c>
      <c r="Y185" s="81">
        <v>-3.7265999999999995</v>
      </c>
      <c r="Z185" s="81">
        <v>-2.8298999999999999</v>
      </c>
      <c r="AA185" s="81">
        <v>-5.9881250000000001</v>
      </c>
      <c r="AB185" s="81">
        <v>-4.9664999999999999</v>
      </c>
      <c r="AC185" s="81">
        <v>-3.6007500000000006</v>
      </c>
      <c r="AD185" s="81">
        <v>-0.31387500000000007</v>
      </c>
    </row>
    <row r="186" spans="1:30">
      <c r="A186" s="38" t="s">
        <v>97</v>
      </c>
      <c r="B186" s="180">
        <v>0</v>
      </c>
      <c r="C186" s="77">
        <v>0</v>
      </c>
      <c r="D186" s="77">
        <v>0</v>
      </c>
      <c r="E186" s="77">
        <v>0</v>
      </c>
      <c r="F186" s="77">
        <v>0</v>
      </c>
      <c r="G186" s="77">
        <v>0</v>
      </c>
      <c r="H186" s="77">
        <v>0</v>
      </c>
      <c r="I186" s="77">
        <v>0</v>
      </c>
      <c r="J186" s="77">
        <v>0</v>
      </c>
      <c r="K186" s="77">
        <v>0</v>
      </c>
      <c r="L186" s="77">
        <v>0</v>
      </c>
      <c r="M186" s="77">
        <v>0</v>
      </c>
      <c r="N186" s="77">
        <v>0</v>
      </c>
      <c r="O186" s="77">
        <v>0</v>
      </c>
      <c r="P186" s="81"/>
      <c r="Q186" s="280">
        <v>0</v>
      </c>
      <c r="R186" s="81">
        <v>0</v>
      </c>
      <c r="S186" s="81">
        <v>0</v>
      </c>
      <c r="T186" s="81">
        <v>0</v>
      </c>
      <c r="U186" s="81">
        <v>0</v>
      </c>
      <c r="V186" s="81">
        <v>0</v>
      </c>
      <c r="W186" s="81">
        <v>0</v>
      </c>
      <c r="X186" s="81">
        <v>0</v>
      </c>
      <c r="Y186" s="81">
        <v>0</v>
      </c>
      <c r="Z186" s="81">
        <v>0</v>
      </c>
      <c r="AA186" s="81">
        <v>0</v>
      </c>
      <c r="AB186" s="81">
        <v>0</v>
      </c>
      <c r="AC186" s="81">
        <v>0</v>
      </c>
      <c r="AD186" s="81">
        <v>0</v>
      </c>
    </row>
    <row r="187" spans="1:30">
      <c r="A187" s="19" t="s">
        <v>98</v>
      </c>
      <c r="B187" s="282">
        <v>21.116999999999997</v>
      </c>
      <c r="C187" s="233">
        <v>21.633000000000003</v>
      </c>
      <c r="D187" s="233">
        <v>25.695374999999999</v>
      </c>
      <c r="E187" s="233">
        <v>21.320250000000001</v>
      </c>
      <c r="F187" s="233">
        <v>21.527625</v>
      </c>
      <c r="G187" s="233">
        <v>12.84675</v>
      </c>
      <c r="H187" s="233">
        <v>11.015699999999995</v>
      </c>
      <c r="I187" s="233">
        <v>5.6984000000000066</v>
      </c>
      <c r="J187" s="233">
        <v>5.0812999999999953</v>
      </c>
      <c r="K187" s="233">
        <v>16.036100000000001</v>
      </c>
      <c r="L187" s="233">
        <v>7.1513750000000016</v>
      </c>
      <c r="M187" s="233">
        <v>9.5602499999999999</v>
      </c>
      <c r="N187" s="233">
        <v>23.008125000000003</v>
      </c>
      <c r="O187" s="233">
        <v>2.1971250000000007</v>
      </c>
      <c r="P187" s="83"/>
      <c r="Q187" s="281">
        <v>42.75</v>
      </c>
      <c r="R187" s="83">
        <v>21.633000000000003</v>
      </c>
      <c r="S187" s="83">
        <v>81.39</v>
      </c>
      <c r="T187" s="83">
        <v>55.694625000000002</v>
      </c>
      <c r="U187" s="83">
        <v>34.374375000000001</v>
      </c>
      <c r="V187" s="83">
        <v>12.84675</v>
      </c>
      <c r="W187" s="83">
        <v>37.831499999999998</v>
      </c>
      <c r="X187" s="83">
        <v>26.815800000000003</v>
      </c>
      <c r="Y187" s="83">
        <v>21.117399999999996</v>
      </c>
      <c r="Z187" s="83">
        <v>16.036100000000001</v>
      </c>
      <c r="AA187" s="83">
        <v>41.916875000000005</v>
      </c>
      <c r="AB187" s="83">
        <v>34.765500000000003</v>
      </c>
      <c r="AC187" s="83">
        <v>25.205250000000003</v>
      </c>
      <c r="AD187" s="83">
        <v>2.1971250000000007</v>
      </c>
    </row>
    <row r="188" spans="1:30">
      <c r="A188" s="24"/>
      <c r="B188" s="24"/>
      <c r="C188" s="24"/>
      <c r="D188" s="24"/>
      <c r="E188" s="24"/>
      <c r="F188" s="24"/>
      <c r="G188" s="24"/>
      <c r="H188" s="24"/>
      <c r="I188" s="24"/>
      <c r="J188" s="24"/>
      <c r="K188" s="24"/>
      <c r="L188" s="24"/>
      <c r="M188" s="24"/>
      <c r="N188" s="24"/>
      <c r="O188" s="24"/>
      <c r="P188" s="86"/>
      <c r="Q188" s="86"/>
      <c r="R188" s="86"/>
      <c r="S188" s="86"/>
      <c r="T188" s="86"/>
      <c r="U188" s="86"/>
      <c r="V188" s="86"/>
      <c r="W188" s="86"/>
      <c r="X188" s="86"/>
      <c r="Y188" s="86"/>
      <c r="Z188" s="86"/>
      <c r="AA188" s="86"/>
      <c r="AB188" s="86"/>
      <c r="AC188" s="86"/>
      <c r="AD188" s="86"/>
    </row>
    <row r="189" spans="1:30">
      <c r="A189" s="19" t="s">
        <v>33</v>
      </c>
      <c r="B189" s="75" t="s">
        <v>552</v>
      </c>
      <c r="C189" s="75" t="s">
        <v>500</v>
      </c>
      <c r="D189" s="75" t="s">
        <v>444</v>
      </c>
      <c r="E189" s="75" t="s">
        <v>441</v>
      </c>
      <c r="F189" s="75" t="s">
        <v>424</v>
      </c>
      <c r="G189" s="75" t="s">
        <v>370</v>
      </c>
      <c r="H189" s="75" t="s">
        <v>364</v>
      </c>
      <c r="I189" s="75" t="s">
        <v>335</v>
      </c>
      <c r="J189" s="75" t="s">
        <v>327</v>
      </c>
      <c r="K189" s="75" t="s">
        <v>320</v>
      </c>
      <c r="L189" s="75" t="s">
        <v>313</v>
      </c>
      <c r="M189" s="75" t="s">
        <v>285</v>
      </c>
      <c r="N189" s="75" t="s">
        <v>278</v>
      </c>
      <c r="O189" s="75" t="s">
        <v>273</v>
      </c>
      <c r="P189" s="75"/>
      <c r="Q189" s="75" t="s">
        <v>553</v>
      </c>
      <c r="R189" s="75" t="s">
        <v>501</v>
      </c>
      <c r="S189" s="75" t="s">
        <v>445</v>
      </c>
      <c r="T189" s="75" t="s">
        <v>442</v>
      </c>
      <c r="U189" s="75" t="s">
        <v>425</v>
      </c>
      <c r="V189" s="75" t="s">
        <v>371</v>
      </c>
      <c r="W189" s="75" t="s">
        <v>365</v>
      </c>
      <c r="X189" s="75" t="s">
        <v>336</v>
      </c>
      <c r="Y189" s="75" t="s">
        <v>328</v>
      </c>
      <c r="Z189" s="75" t="s">
        <v>321</v>
      </c>
      <c r="AA189" s="75" t="s">
        <v>314</v>
      </c>
      <c r="AB189" s="75" t="s">
        <v>286</v>
      </c>
      <c r="AC189" s="75" t="s">
        <v>279</v>
      </c>
      <c r="AD189" s="75" t="s">
        <v>274</v>
      </c>
    </row>
    <row r="190" spans="1:30">
      <c r="A190" s="21" t="s">
        <v>549</v>
      </c>
      <c r="B190" s="21"/>
      <c r="C190" s="21"/>
      <c r="D190" s="21"/>
      <c r="E190" s="21"/>
      <c r="F190" s="21"/>
      <c r="G190" s="21"/>
      <c r="H190" s="21"/>
      <c r="I190" s="21"/>
      <c r="J190" s="21"/>
      <c r="K190" s="21"/>
      <c r="L190" s="21"/>
      <c r="M190" s="21"/>
      <c r="N190" s="21"/>
      <c r="O190" s="21"/>
      <c r="P190" s="85"/>
      <c r="Q190" s="85"/>
      <c r="R190" s="85"/>
      <c r="S190" s="85"/>
      <c r="T190" s="85"/>
      <c r="U190" s="85"/>
      <c r="V190" s="85"/>
      <c r="W190" s="85"/>
      <c r="X190" s="85"/>
      <c r="Y190" s="85"/>
      <c r="Z190" s="85"/>
      <c r="AA190" s="85"/>
      <c r="AB190" s="85"/>
      <c r="AC190" s="85"/>
      <c r="AD190" s="85"/>
    </row>
    <row r="191" spans="1:30">
      <c r="A191" s="38" t="s">
        <v>34</v>
      </c>
      <c r="B191" s="180">
        <v>0</v>
      </c>
      <c r="C191" s="77">
        <v>0</v>
      </c>
      <c r="D191" s="77">
        <v>0</v>
      </c>
      <c r="E191" s="77">
        <v>0</v>
      </c>
      <c r="F191" s="77">
        <v>0</v>
      </c>
      <c r="G191" s="77">
        <v>0</v>
      </c>
      <c r="H191" s="77">
        <v>0</v>
      </c>
      <c r="I191" s="77">
        <v>0</v>
      </c>
      <c r="J191" s="77">
        <v>0</v>
      </c>
      <c r="K191" s="77">
        <v>0</v>
      </c>
      <c r="L191" s="77">
        <v>4.9000000000000002E-2</v>
      </c>
      <c r="M191" s="77">
        <v>-2.3000000000000003E-2</v>
      </c>
      <c r="N191" s="77">
        <v>-1.3999999999999999E-2</v>
      </c>
      <c r="O191" s="77">
        <v>-1.2E-2</v>
      </c>
      <c r="P191" s="81"/>
      <c r="Q191" s="280">
        <v>0</v>
      </c>
      <c r="R191" s="81">
        <v>0</v>
      </c>
      <c r="S191" s="81">
        <v>0</v>
      </c>
      <c r="T191" s="81">
        <v>0</v>
      </c>
      <c r="U191" s="81">
        <v>0</v>
      </c>
      <c r="V191" s="81">
        <v>0</v>
      </c>
      <c r="W191" s="81">
        <v>0</v>
      </c>
      <c r="X191" s="81">
        <v>0</v>
      </c>
      <c r="Y191" s="81">
        <v>0</v>
      </c>
      <c r="Z191" s="81">
        <v>0</v>
      </c>
      <c r="AA191" s="81">
        <v>0</v>
      </c>
      <c r="AB191" s="81">
        <v>-4.9000000000000002E-2</v>
      </c>
      <c r="AC191" s="81">
        <v>-2.5999999999999999E-2</v>
      </c>
      <c r="AD191" s="81">
        <v>-1.2E-2</v>
      </c>
    </row>
    <row r="192" spans="1:30">
      <c r="A192" s="38" t="s">
        <v>91</v>
      </c>
      <c r="B192" s="180">
        <v>7.9530000000000003</v>
      </c>
      <c r="C192" s="77">
        <v>7.0650000000000004</v>
      </c>
      <c r="D192" s="77">
        <v>7.8179999999999978</v>
      </c>
      <c r="E192" s="77">
        <v>7.6059999999999999</v>
      </c>
      <c r="F192" s="77">
        <v>7.4970000000000008</v>
      </c>
      <c r="G192" s="77">
        <v>6.6909999999999998</v>
      </c>
      <c r="H192" s="77">
        <v>7.0902727272727262</v>
      </c>
      <c r="I192" s="77">
        <v>7.2190000000000012</v>
      </c>
      <c r="J192" s="77">
        <v>7.2569999999999997</v>
      </c>
      <c r="K192" s="77">
        <v>6.7050000000000001</v>
      </c>
      <c r="L192" s="77">
        <v>8.8099999999999987</v>
      </c>
      <c r="M192" s="77">
        <v>7.2140000000000004</v>
      </c>
      <c r="N192" s="77">
        <v>7.3789999999999996</v>
      </c>
      <c r="O192" s="77">
        <v>6.1340000000000003</v>
      </c>
      <c r="P192" s="81"/>
      <c r="Q192" s="280">
        <v>15.018000000000001</v>
      </c>
      <c r="R192" s="81">
        <v>7.0650000000000004</v>
      </c>
      <c r="S192" s="81">
        <v>29.611999999999998</v>
      </c>
      <c r="T192" s="81">
        <v>21.794</v>
      </c>
      <c r="U192" s="81">
        <v>14.188000000000001</v>
      </c>
      <c r="V192" s="81">
        <v>6.6909999999999998</v>
      </c>
      <c r="W192" s="81">
        <v>28.271272727272727</v>
      </c>
      <c r="X192" s="81">
        <v>21.181000000000001</v>
      </c>
      <c r="Y192" s="81">
        <v>13.962</v>
      </c>
      <c r="Z192" s="81">
        <v>6.7050000000000001</v>
      </c>
      <c r="AA192" s="81">
        <v>29.536999999999999</v>
      </c>
      <c r="AB192" s="81">
        <v>20.727</v>
      </c>
      <c r="AC192" s="81">
        <v>13.513</v>
      </c>
      <c r="AD192" s="81">
        <v>6.1340000000000003</v>
      </c>
    </row>
    <row r="193" spans="1:30">
      <c r="A193" s="38" t="s">
        <v>36</v>
      </c>
      <c r="B193" s="180">
        <v>1.482</v>
      </c>
      <c r="C193" s="77">
        <v>0.23200000000000001</v>
      </c>
      <c r="D193" s="77">
        <v>7.5999999999999623E-2</v>
      </c>
      <c r="E193" s="77">
        <v>2.2170000000000001</v>
      </c>
      <c r="F193" s="77">
        <v>0.56000000000000005</v>
      </c>
      <c r="G193" s="77">
        <v>1.9039999999999999</v>
      </c>
      <c r="H193" s="77">
        <v>1.5710000000000006</v>
      </c>
      <c r="I193" s="77">
        <v>2.9469999999999996</v>
      </c>
      <c r="J193" s="77">
        <v>0.82000000000000006</v>
      </c>
      <c r="K193" s="77">
        <v>1.0589999999999999</v>
      </c>
      <c r="L193" s="77">
        <v>0.71700000000000008</v>
      </c>
      <c r="M193" s="77">
        <v>1.2890000000000001</v>
      </c>
      <c r="N193" s="77">
        <v>1.3729999999999998</v>
      </c>
      <c r="O193" s="77">
        <v>1.1160000000000001</v>
      </c>
      <c r="P193" s="81"/>
      <c r="Q193" s="280">
        <v>1.714</v>
      </c>
      <c r="R193" s="81">
        <v>0.23200000000000001</v>
      </c>
      <c r="S193" s="81">
        <v>4.7569999999999997</v>
      </c>
      <c r="T193" s="81">
        <v>4.681</v>
      </c>
      <c r="U193" s="81">
        <v>2.464</v>
      </c>
      <c r="V193" s="81">
        <v>1.9039999999999999</v>
      </c>
      <c r="W193" s="81">
        <v>6.3970000000000002</v>
      </c>
      <c r="X193" s="81">
        <v>4.8259999999999996</v>
      </c>
      <c r="Y193" s="81">
        <v>1.879</v>
      </c>
      <c r="Z193" s="81">
        <v>1.0589999999999999</v>
      </c>
      <c r="AA193" s="81">
        <v>4.4950000000000001</v>
      </c>
      <c r="AB193" s="81">
        <v>3.778</v>
      </c>
      <c r="AC193" s="81">
        <v>2.4889999999999999</v>
      </c>
      <c r="AD193" s="81">
        <v>1.1160000000000001</v>
      </c>
    </row>
    <row r="194" spans="1:30">
      <c r="A194" s="19" t="s">
        <v>37</v>
      </c>
      <c r="B194" s="282">
        <v>9.4349999999999987</v>
      </c>
      <c r="C194" s="233">
        <v>7.2970000000000006</v>
      </c>
      <c r="D194" s="233">
        <v>7.8939999999999984</v>
      </c>
      <c r="E194" s="233">
        <v>9.8230000000000004</v>
      </c>
      <c r="F194" s="233">
        <v>8.0570000000000022</v>
      </c>
      <c r="G194" s="233">
        <v>8.5949999999999989</v>
      </c>
      <c r="H194" s="233">
        <v>8.6612727272727277</v>
      </c>
      <c r="I194" s="233">
        <v>10.166000000000002</v>
      </c>
      <c r="J194" s="233">
        <v>8.0769999999999982</v>
      </c>
      <c r="K194" s="233">
        <v>7.7640000000000002</v>
      </c>
      <c r="L194" s="233">
        <v>9.575999999999997</v>
      </c>
      <c r="M194" s="233">
        <v>8.48</v>
      </c>
      <c r="N194" s="233">
        <v>8.7379999999999978</v>
      </c>
      <c r="O194" s="233">
        <v>7.2380000000000013</v>
      </c>
      <c r="P194" s="83"/>
      <c r="Q194" s="281">
        <v>16.731999999999999</v>
      </c>
      <c r="R194" s="83">
        <v>7.2970000000000006</v>
      </c>
      <c r="S194" s="83">
        <v>34.369</v>
      </c>
      <c r="T194" s="83">
        <v>26.475000000000001</v>
      </c>
      <c r="U194" s="83">
        <v>16.652000000000001</v>
      </c>
      <c r="V194" s="83">
        <v>8.5949999999999989</v>
      </c>
      <c r="W194" s="83">
        <v>34.668272727272729</v>
      </c>
      <c r="X194" s="83">
        <v>26.007000000000001</v>
      </c>
      <c r="Y194" s="83">
        <v>15.840999999999999</v>
      </c>
      <c r="Z194" s="83">
        <v>7.7640000000000002</v>
      </c>
      <c r="AA194" s="83">
        <v>34.031999999999996</v>
      </c>
      <c r="AB194" s="83">
        <v>24.456</v>
      </c>
      <c r="AC194" s="83">
        <v>15.975999999999999</v>
      </c>
      <c r="AD194" s="83">
        <v>7.2380000000000013</v>
      </c>
    </row>
    <row r="195" spans="1:30">
      <c r="A195" s="19" t="s">
        <v>40</v>
      </c>
      <c r="B195" s="282">
        <v>-5.6720000000000006</v>
      </c>
      <c r="C195" s="233">
        <v>-5.6950000000000003</v>
      </c>
      <c r="D195" s="233">
        <v>-5.1009999999999991</v>
      </c>
      <c r="E195" s="233">
        <v>-5.7270000000000003</v>
      </c>
      <c r="F195" s="233">
        <v>-5.8069999999999995</v>
      </c>
      <c r="G195" s="233">
        <v>-5.2069999999999999</v>
      </c>
      <c r="H195" s="233">
        <v>-8.4502500000000005</v>
      </c>
      <c r="I195" s="233">
        <v>-5.2577500000000015</v>
      </c>
      <c r="J195" s="233">
        <v>-5.1129999999999995</v>
      </c>
      <c r="K195" s="233">
        <v>-4.7439999999999998</v>
      </c>
      <c r="L195" s="233">
        <v>-6.0560000000000009</v>
      </c>
      <c r="M195" s="233">
        <v>-4.8770000000000007</v>
      </c>
      <c r="N195" s="233">
        <v>-4.4659999999999993</v>
      </c>
      <c r="O195" s="233">
        <v>-4.25</v>
      </c>
      <c r="P195" s="83"/>
      <c r="Q195" s="281">
        <v>-11.367000000000001</v>
      </c>
      <c r="R195" s="83">
        <v>-5.6950000000000003</v>
      </c>
      <c r="S195" s="83">
        <v>-21.841999999999999</v>
      </c>
      <c r="T195" s="83">
        <v>-16.741</v>
      </c>
      <c r="U195" s="83">
        <v>-11.013999999999999</v>
      </c>
      <c r="V195" s="83">
        <v>-5.2069999999999999</v>
      </c>
      <c r="W195" s="83">
        <v>-23.565000000000001</v>
      </c>
      <c r="X195" s="83">
        <v>-15.114750000000001</v>
      </c>
      <c r="Y195" s="83">
        <v>-9.8569999999999993</v>
      </c>
      <c r="Z195" s="83">
        <v>-4.7439999999999998</v>
      </c>
      <c r="AA195" s="83">
        <v>-19.649000000000001</v>
      </c>
      <c r="AB195" s="83">
        <v>-13.593</v>
      </c>
      <c r="AC195" s="83">
        <v>-8.7159999999999993</v>
      </c>
      <c r="AD195" s="83">
        <v>-4.25</v>
      </c>
    </row>
    <row r="196" spans="1:30">
      <c r="A196" s="19" t="s">
        <v>92</v>
      </c>
      <c r="B196" s="282">
        <v>3.7629999999999981</v>
      </c>
      <c r="C196" s="233">
        <v>1.6020000000000003</v>
      </c>
      <c r="D196" s="233">
        <v>2.7929999999999993</v>
      </c>
      <c r="E196" s="233">
        <v>4.0960000000000001</v>
      </c>
      <c r="F196" s="233">
        <v>2.2500000000000027</v>
      </c>
      <c r="G196" s="233">
        <v>3.387999999999999</v>
      </c>
      <c r="H196" s="233">
        <v>0.2110227272727272</v>
      </c>
      <c r="I196" s="233">
        <v>4.9082500000000007</v>
      </c>
      <c r="J196" s="233">
        <v>2.9639999999999995</v>
      </c>
      <c r="K196" s="233">
        <v>3.0200000000000005</v>
      </c>
      <c r="L196" s="233">
        <v>3.519999999999996</v>
      </c>
      <c r="M196" s="233">
        <v>3.6029999999999998</v>
      </c>
      <c r="N196" s="233">
        <v>4.2719999999999985</v>
      </c>
      <c r="O196" s="233">
        <v>2.9880000000000013</v>
      </c>
      <c r="P196" s="83"/>
      <c r="Q196" s="281">
        <v>5.3649999999999984</v>
      </c>
      <c r="R196" s="83">
        <v>1.6020000000000003</v>
      </c>
      <c r="S196" s="83">
        <v>12.527000000000001</v>
      </c>
      <c r="T196" s="83">
        <v>9.7340000000000018</v>
      </c>
      <c r="U196" s="83">
        <v>5.6380000000000017</v>
      </c>
      <c r="V196" s="83">
        <v>3.387999999999999</v>
      </c>
      <c r="W196" s="83">
        <v>11.103272727272728</v>
      </c>
      <c r="X196" s="83">
        <v>10.892250000000001</v>
      </c>
      <c r="Y196" s="83">
        <v>5.984</v>
      </c>
      <c r="Z196" s="83">
        <v>3.0200000000000005</v>
      </c>
      <c r="AA196" s="83">
        <v>14.382999999999996</v>
      </c>
      <c r="AB196" s="83">
        <v>10.863</v>
      </c>
      <c r="AC196" s="83">
        <v>7.26</v>
      </c>
      <c r="AD196" s="83">
        <v>2.9880000000000013</v>
      </c>
    </row>
    <row r="197" spans="1:30" ht="27.75" customHeight="1">
      <c r="A197" s="79" t="s">
        <v>507</v>
      </c>
      <c r="B197" s="180">
        <v>0</v>
      </c>
      <c r="C197" s="77">
        <v>0</v>
      </c>
      <c r="D197" s="77">
        <v>0</v>
      </c>
      <c r="E197" s="77">
        <v>0</v>
      </c>
      <c r="F197" s="77">
        <v>0</v>
      </c>
      <c r="G197" s="77">
        <v>0</v>
      </c>
      <c r="H197" s="77">
        <v>0</v>
      </c>
      <c r="I197" s="77">
        <v>0</v>
      </c>
      <c r="J197" s="77">
        <v>0</v>
      </c>
      <c r="K197" s="77">
        <v>0</v>
      </c>
      <c r="L197" s="77">
        <v>0</v>
      </c>
      <c r="M197" s="77">
        <v>0</v>
      </c>
      <c r="N197" s="77">
        <v>0</v>
      </c>
      <c r="O197" s="77">
        <v>0</v>
      </c>
      <c r="P197" s="81"/>
      <c r="Q197" s="280">
        <v>0</v>
      </c>
      <c r="R197" s="81">
        <v>0</v>
      </c>
      <c r="S197" s="81">
        <v>0</v>
      </c>
      <c r="T197" s="81">
        <v>0</v>
      </c>
      <c r="U197" s="81">
        <v>0</v>
      </c>
      <c r="V197" s="81">
        <v>0</v>
      </c>
      <c r="W197" s="81">
        <v>0</v>
      </c>
      <c r="X197" s="81">
        <v>0</v>
      </c>
      <c r="Y197" s="81">
        <v>0</v>
      </c>
      <c r="Z197" s="81">
        <v>0</v>
      </c>
      <c r="AA197" s="81">
        <v>0</v>
      </c>
      <c r="AB197" s="81">
        <v>0</v>
      </c>
      <c r="AC197" s="81">
        <v>0</v>
      </c>
      <c r="AD197" s="81">
        <v>0</v>
      </c>
    </row>
    <row r="198" spans="1:30">
      <c r="A198" s="38" t="s">
        <v>93</v>
      </c>
      <c r="B198" s="180">
        <v>0</v>
      </c>
      <c r="C198" s="77">
        <v>0</v>
      </c>
      <c r="D198" s="77">
        <v>0</v>
      </c>
      <c r="E198" s="77">
        <v>0</v>
      </c>
      <c r="F198" s="77">
        <v>0</v>
      </c>
      <c r="G198" s="77">
        <v>0</v>
      </c>
      <c r="H198" s="77">
        <v>0</v>
      </c>
      <c r="I198" s="77">
        <v>0</v>
      </c>
      <c r="J198" s="77">
        <v>0</v>
      </c>
      <c r="K198" s="77">
        <v>0</v>
      </c>
      <c r="L198" s="77">
        <v>0</v>
      </c>
      <c r="M198" s="77">
        <v>0</v>
      </c>
      <c r="N198" s="77">
        <v>0</v>
      </c>
      <c r="O198" s="77">
        <v>0</v>
      </c>
      <c r="P198" s="81"/>
      <c r="Q198" s="280">
        <v>0</v>
      </c>
      <c r="R198" s="81">
        <v>0</v>
      </c>
      <c r="S198" s="81">
        <v>0</v>
      </c>
      <c r="T198" s="81">
        <v>0</v>
      </c>
      <c r="U198" s="81">
        <v>0</v>
      </c>
      <c r="V198" s="81">
        <v>0</v>
      </c>
      <c r="W198" s="81">
        <v>0</v>
      </c>
      <c r="X198" s="81">
        <v>0</v>
      </c>
      <c r="Y198" s="81">
        <v>0</v>
      </c>
      <c r="Z198" s="81">
        <v>0</v>
      </c>
      <c r="AA198" s="81">
        <v>0</v>
      </c>
      <c r="AB198" s="81">
        <v>0</v>
      </c>
      <c r="AC198" s="81">
        <v>0</v>
      </c>
      <c r="AD198" s="81">
        <v>0</v>
      </c>
    </row>
    <row r="199" spans="1:30">
      <c r="A199" s="38" t="s">
        <v>94</v>
      </c>
      <c r="B199" s="180">
        <v>-1.262</v>
      </c>
      <c r="C199" s="77">
        <v>0</v>
      </c>
      <c r="D199" s="77">
        <v>0</v>
      </c>
      <c r="E199" s="77">
        <v>0</v>
      </c>
      <c r="F199" s="77">
        <v>0</v>
      </c>
      <c r="G199" s="77">
        <v>0</v>
      </c>
      <c r="H199" s="77">
        <v>0</v>
      </c>
      <c r="I199" s="77">
        <v>1.7210000000000001</v>
      </c>
      <c r="J199" s="77">
        <v>0</v>
      </c>
      <c r="K199" s="77">
        <v>0</v>
      </c>
      <c r="L199" s="77">
        <v>-0.38</v>
      </c>
      <c r="M199" s="77">
        <v>0</v>
      </c>
      <c r="N199" s="77">
        <v>0</v>
      </c>
      <c r="O199" s="77">
        <v>0</v>
      </c>
      <c r="P199" s="81"/>
      <c r="Q199" s="280">
        <v>-1.262</v>
      </c>
      <c r="R199" s="81">
        <v>0</v>
      </c>
      <c r="S199" s="81">
        <v>0</v>
      </c>
      <c r="T199" s="81">
        <v>0</v>
      </c>
      <c r="U199" s="81">
        <v>0</v>
      </c>
      <c r="V199" s="81">
        <v>0</v>
      </c>
      <c r="W199" s="81">
        <v>1.7210000000000001</v>
      </c>
      <c r="X199" s="81">
        <v>1.7210000000000001</v>
      </c>
      <c r="Y199" s="81">
        <v>0</v>
      </c>
      <c r="Z199" s="81">
        <v>0</v>
      </c>
      <c r="AA199" s="81">
        <v>-0.38</v>
      </c>
      <c r="AB199" s="81">
        <v>0</v>
      </c>
      <c r="AC199" s="81">
        <v>0</v>
      </c>
      <c r="AD199" s="81">
        <v>0</v>
      </c>
    </row>
    <row r="200" spans="1:30">
      <c r="A200" s="38" t="s">
        <v>95</v>
      </c>
      <c r="B200" s="180">
        <v>0</v>
      </c>
      <c r="C200" s="77">
        <v>0</v>
      </c>
      <c r="D200" s="77">
        <v>0</v>
      </c>
      <c r="E200" s="77">
        <v>0</v>
      </c>
      <c r="F200" s="77">
        <v>0</v>
      </c>
      <c r="G200" s="77">
        <v>0</v>
      </c>
      <c r="H200" s="77">
        <v>0</v>
      </c>
      <c r="I200" s="77">
        <v>0</v>
      </c>
      <c r="J200" s="77">
        <v>0</v>
      </c>
      <c r="K200" s="77">
        <v>0</v>
      </c>
      <c r="L200" s="77">
        <v>0</v>
      </c>
      <c r="M200" s="77">
        <v>0</v>
      </c>
      <c r="N200" s="77">
        <v>0</v>
      </c>
      <c r="O200" s="77">
        <v>0</v>
      </c>
      <c r="P200" s="81"/>
      <c r="Q200" s="280">
        <v>0</v>
      </c>
      <c r="R200" s="81">
        <v>0</v>
      </c>
      <c r="S200" s="81">
        <v>0</v>
      </c>
      <c r="T200" s="81">
        <v>0</v>
      </c>
      <c r="U200" s="81">
        <v>0</v>
      </c>
      <c r="V200" s="81">
        <v>0</v>
      </c>
      <c r="W200" s="81">
        <v>0</v>
      </c>
      <c r="X200" s="81">
        <v>0</v>
      </c>
      <c r="Y200" s="81">
        <v>0</v>
      </c>
      <c r="Z200" s="81">
        <v>0</v>
      </c>
      <c r="AA200" s="81">
        <v>0</v>
      </c>
      <c r="AB200" s="81">
        <v>0</v>
      </c>
      <c r="AC200" s="81">
        <v>0</v>
      </c>
      <c r="AD200" s="81">
        <v>0</v>
      </c>
    </row>
    <row r="201" spans="1:30">
      <c r="A201" s="19" t="s">
        <v>96</v>
      </c>
      <c r="B201" s="282">
        <v>2.5009999999999977</v>
      </c>
      <c r="C201" s="233">
        <v>1.6020000000000003</v>
      </c>
      <c r="D201" s="233">
        <v>2.7929999999999993</v>
      </c>
      <c r="E201" s="233">
        <v>4.0960000000000001</v>
      </c>
      <c r="F201" s="233">
        <v>2.2500000000000027</v>
      </c>
      <c r="G201" s="233">
        <v>3.387999999999999</v>
      </c>
      <c r="H201" s="233">
        <v>0.2110227272727272</v>
      </c>
      <c r="I201" s="233">
        <v>6.6292500000000008</v>
      </c>
      <c r="J201" s="233">
        <v>2.9639999999999995</v>
      </c>
      <c r="K201" s="233">
        <v>3.0200000000000005</v>
      </c>
      <c r="L201" s="233">
        <v>3.1399999999999952</v>
      </c>
      <c r="M201" s="233">
        <v>3.6029999999999998</v>
      </c>
      <c r="N201" s="233">
        <v>4.2719999999999985</v>
      </c>
      <c r="O201" s="233">
        <v>2.9880000000000013</v>
      </c>
      <c r="P201" s="83"/>
      <c r="Q201" s="281">
        <v>4.102999999999998</v>
      </c>
      <c r="R201" s="83">
        <v>1.6020000000000003</v>
      </c>
      <c r="S201" s="83">
        <v>12.527000000000001</v>
      </c>
      <c r="T201" s="83">
        <v>9.7340000000000018</v>
      </c>
      <c r="U201" s="83">
        <v>5.6380000000000017</v>
      </c>
      <c r="V201" s="83">
        <v>3.387999999999999</v>
      </c>
      <c r="W201" s="83">
        <v>12.824272727272728</v>
      </c>
      <c r="X201" s="83">
        <v>12.613250000000001</v>
      </c>
      <c r="Y201" s="83">
        <v>5.984</v>
      </c>
      <c r="Z201" s="83">
        <v>3.0200000000000005</v>
      </c>
      <c r="AA201" s="83">
        <v>14.002999999999995</v>
      </c>
      <c r="AB201" s="83">
        <v>10.863</v>
      </c>
      <c r="AC201" s="83">
        <v>7.26</v>
      </c>
      <c r="AD201" s="83">
        <v>2.9880000000000013</v>
      </c>
    </row>
    <row r="202" spans="1:30">
      <c r="A202" s="38" t="s">
        <v>45</v>
      </c>
      <c r="B202" s="180">
        <v>-0.3620000000000001</v>
      </c>
      <c r="C202" s="77">
        <v>-0.72199999999999998</v>
      </c>
      <c r="D202" s="77">
        <v>-0.26200000000000001</v>
      </c>
      <c r="E202" s="77">
        <v>-0.45800000000000007</v>
      </c>
      <c r="F202" s="77">
        <v>-0.26699999999999996</v>
      </c>
      <c r="G202" s="77">
        <v>-0.313</v>
      </c>
      <c r="H202" s="77">
        <v>-0.18599999999999994</v>
      </c>
      <c r="I202" s="77">
        <v>-0.3610000000000001</v>
      </c>
      <c r="J202" s="77">
        <v>-0.38699999999999996</v>
      </c>
      <c r="K202" s="77">
        <v>-0.44700000000000001</v>
      </c>
      <c r="L202" s="77">
        <v>-0.81999999999999984</v>
      </c>
      <c r="M202" s="77">
        <v>-0.12999999999999989</v>
      </c>
      <c r="N202" s="77">
        <v>-0.52600000000000013</v>
      </c>
      <c r="O202" s="77">
        <v>-0.59399999999999997</v>
      </c>
      <c r="P202" s="81"/>
      <c r="Q202" s="280">
        <v>-1.0840000000000001</v>
      </c>
      <c r="R202" s="81">
        <v>-0.72199999999999998</v>
      </c>
      <c r="S202" s="81">
        <v>-1.3</v>
      </c>
      <c r="T202" s="81">
        <v>-1.038</v>
      </c>
      <c r="U202" s="81">
        <v>-0.57999999999999996</v>
      </c>
      <c r="V202" s="81">
        <v>-0.313</v>
      </c>
      <c r="W202" s="81">
        <v>-1.381</v>
      </c>
      <c r="X202" s="81">
        <v>-1.1950000000000001</v>
      </c>
      <c r="Y202" s="81">
        <v>-0.83399999999999996</v>
      </c>
      <c r="Z202" s="81">
        <v>-0.44700000000000001</v>
      </c>
      <c r="AA202" s="81">
        <v>-2.0699999999999998</v>
      </c>
      <c r="AB202" s="81">
        <v>-1.25</v>
      </c>
      <c r="AC202" s="81">
        <v>-1.1200000000000001</v>
      </c>
      <c r="AD202" s="81">
        <v>-0.59399999999999997</v>
      </c>
    </row>
    <row r="203" spans="1:30">
      <c r="A203" s="38" t="s">
        <v>97</v>
      </c>
      <c r="B203" s="180">
        <v>-0.75375000000000003</v>
      </c>
      <c r="C203" s="77">
        <v>0</v>
      </c>
      <c r="D203" s="77">
        <v>0</v>
      </c>
      <c r="E203" s="77">
        <v>-1.4055</v>
      </c>
      <c r="F203" s="77">
        <v>0</v>
      </c>
      <c r="G203" s="77">
        <v>-0.76849999999999996</v>
      </c>
      <c r="H203" s="77">
        <v>0</v>
      </c>
      <c r="I203" s="77">
        <v>-1.5660625000000001</v>
      </c>
      <c r="J203" s="77">
        <v>-0.64450000000000007</v>
      </c>
      <c r="K203" s="77">
        <v>-0.63900000000000001</v>
      </c>
      <c r="L203" s="77">
        <v>-0.58099999999999996</v>
      </c>
      <c r="M203" s="77">
        <v>-0.8680000000000001</v>
      </c>
      <c r="N203" s="77">
        <v>-0.93599999999999994</v>
      </c>
      <c r="O203" s="77">
        <v>-0.59899999999999998</v>
      </c>
      <c r="P203" s="81"/>
      <c r="Q203" s="280">
        <v>-0.75375000000000003</v>
      </c>
      <c r="R203" s="81">
        <v>0</v>
      </c>
      <c r="S203" s="81">
        <v>-2.1739999999999999</v>
      </c>
      <c r="T203" s="81">
        <v>-2.1739999999999999</v>
      </c>
      <c r="U203" s="81">
        <v>-0.76849999999999996</v>
      </c>
      <c r="V203" s="81">
        <v>-0.76849999999999996</v>
      </c>
      <c r="W203" s="81">
        <v>-2.8495625000000002</v>
      </c>
      <c r="X203" s="81">
        <v>-2.8495625000000002</v>
      </c>
      <c r="Y203" s="81">
        <v>-1.2835000000000001</v>
      </c>
      <c r="Z203" s="81">
        <v>-0.63900000000000001</v>
      </c>
      <c r="AA203" s="81">
        <v>-2.984</v>
      </c>
      <c r="AB203" s="81">
        <v>-2.403</v>
      </c>
      <c r="AC203" s="81">
        <v>-1.5349999999999999</v>
      </c>
      <c r="AD203" s="81">
        <v>-0.59899999999999998</v>
      </c>
    </row>
    <row r="204" spans="1:30">
      <c r="A204" s="19" t="s">
        <v>98</v>
      </c>
      <c r="B204" s="282">
        <v>1.3852499999999974</v>
      </c>
      <c r="C204" s="233">
        <v>0.88000000000000034</v>
      </c>
      <c r="D204" s="233">
        <v>2.5309999999999988</v>
      </c>
      <c r="E204" s="233">
        <v>2.2324999999999999</v>
      </c>
      <c r="F204" s="233">
        <v>1.9830000000000032</v>
      </c>
      <c r="G204" s="233">
        <v>2.3064999999999989</v>
      </c>
      <c r="H204" s="233">
        <v>2.5022727272727252E-2</v>
      </c>
      <c r="I204" s="233">
        <v>4.7021874999999991</v>
      </c>
      <c r="J204" s="233">
        <v>1.9324999999999999</v>
      </c>
      <c r="K204" s="233">
        <v>1.9340000000000004</v>
      </c>
      <c r="L204" s="233">
        <v>1.7389999999999954</v>
      </c>
      <c r="M204" s="233">
        <v>2.6049999999999995</v>
      </c>
      <c r="N204" s="233">
        <v>2.8099999999999978</v>
      </c>
      <c r="O204" s="233">
        <v>1.7950000000000015</v>
      </c>
      <c r="P204" s="83"/>
      <c r="Q204" s="281">
        <v>2.2652499999999978</v>
      </c>
      <c r="R204" s="83">
        <v>0.88000000000000034</v>
      </c>
      <c r="S204" s="83">
        <v>9.0530000000000008</v>
      </c>
      <c r="T204" s="83">
        <v>6.522000000000002</v>
      </c>
      <c r="U204" s="83">
        <v>4.2895000000000021</v>
      </c>
      <c r="V204" s="83">
        <v>2.3064999999999989</v>
      </c>
      <c r="W204" s="83">
        <v>8.5937102272727266</v>
      </c>
      <c r="X204" s="83">
        <v>8.5686874999999993</v>
      </c>
      <c r="Y204" s="83">
        <v>3.8665000000000003</v>
      </c>
      <c r="Z204" s="83">
        <v>1.9340000000000004</v>
      </c>
      <c r="AA204" s="83">
        <v>8.9489999999999945</v>
      </c>
      <c r="AB204" s="83">
        <v>7.2099999999999991</v>
      </c>
      <c r="AC204" s="83">
        <v>4.6049999999999995</v>
      </c>
      <c r="AD204" s="83">
        <v>1.7950000000000015</v>
      </c>
    </row>
    <row r="206" spans="1:30">
      <c r="A206" s="19" t="s">
        <v>33</v>
      </c>
      <c r="B206" s="75" t="s">
        <v>552</v>
      </c>
      <c r="C206" s="75" t="s">
        <v>500</v>
      </c>
      <c r="D206" s="75" t="s">
        <v>444</v>
      </c>
      <c r="E206" s="75" t="s">
        <v>441</v>
      </c>
      <c r="F206" s="75" t="s">
        <v>424</v>
      </c>
      <c r="G206" s="75" t="s">
        <v>370</v>
      </c>
      <c r="H206" s="75" t="s">
        <v>364</v>
      </c>
      <c r="I206" s="75" t="s">
        <v>335</v>
      </c>
      <c r="J206" s="75" t="s">
        <v>327</v>
      </c>
      <c r="K206" s="75" t="s">
        <v>320</v>
      </c>
      <c r="L206" s="75" t="s">
        <v>313</v>
      </c>
      <c r="M206" s="75" t="s">
        <v>285</v>
      </c>
      <c r="N206" s="75" t="s">
        <v>278</v>
      </c>
      <c r="O206" s="75" t="s">
        <v>273</v>
      </c>
      <c r="P206" s="75"/>
      <c r="Q206" s="75" t="s">
        <v>553</v>
      </c>
      <c r="R206" s="75" t="s">
        <v>501</v>
      </c>
      <c r="S206" s="75" t="s">
        <v>445</v>
      </c>
      <c r="T206" s="75" t="s">
        <v>442</v>
      </c>
      <c r="U206" s="75" t="s">
        <v>425</v>
      </c>
      <c r="V206" s="75" t="s">
        <v>371</v>
      </c>
      <c r="W206" s="75" t="s">
        <v>365</v>
      </c>
      <c r="X206" s="75" t="s">
        <v>336</v>
      </c>
      <c r="Y206" s="75" t="s">
        <v>328</v>
      </c>
      <c r="Z206" s="75" t="s">
        <v>321</v>
      </c>
      <c r="AA206" s="75" t="s">
        <v>314</v>
      </c>
      <c r="AB206" s="75" t="s">
        <v>286</v>
      </c>
      <c r="AC206" s="75" t="s">
        <v>279</v>
      </c>
      <c r="AD206" s="75" t="s">
        <v>274</v>
      </c>
    </row>
    <row r="207" spans="1:30">
      <c r="A207" s="21" t="s">
        <v>550</v>
      </c>
      <c r="B207" s="21"/>
      <c r="C207" s="21"/>
      <c r="D207" s="21"/>
      <c r="E207" s="21"/>
      <c r="F207" s="21"/>
      <c r="G207" s="21"/>
      <c r="H207" s="21"/>
      <c r="I207" s="21"/>
      <c r="J207" s="21"/>
      <c r="K207" s="21"/>
      <c r="L207" s="21"/>
      <c r="M207" s="21"/>
      <c r="N207" s="21"/>
      <c r="O207" s="21"/>
      <c r="P207" s="85"/>
      <c r="Q207" s="85"/>
      <c r="R207" s="85"/>
      <c r="S207" s="85"/>
      <c r="T207" s="85"/>
      <c r="U207" s="85"/>
      <c r="V207" s="85"/>
      <c r="W207" s="85"/>
      <c r="X207" s="85"/>
      <c r="Y207" s="85"/>
      <c r="Z207" s="85"/>
      <c r="AA207" s="85"/>
      <c r="AB207" s="85"/>
      <c r="AC207" s="85"/>
      <c r="AD207" s="85"/>
    </row>
    <row r="208" spans="1:30">
      <c r="A208" s="38" t="s">
        <v>34</v>
      </c>
      <c r="B208" s="180">
        <v>-1.6799999999999997</v>
      </c>
      <c r="C208" s="77">
        <v>-2.2480000000000002</v>
      </c>
      <c r="D208" s="77">
        <v>-2.8929999999999865</v>
      </c>
      <c r="E208" s="77">
        <v>-1.9490000000000585</v>
      </c>
      <c r="F208" s="77">
        <v>-5.3420000000000041</v>
      </c>
      <c r="G208" s="77">
        <v>-1.1420000000000012</v>
      </c>
      <c r="H208" s="77">
        <v>-0.38599999999994949</v>
      </c>
      <c r="I208" s="77">
        <v>-1.3949999999999889</v>
      </c>
      <c r="J208" s="77">
        <v>-1.7179999999999715</v>
      </c>
      <c r="K208" s="77">
        <v>-0.8370000000000033</v>
      </c>
      <c r="L208" s="77">
        <v>-0.1279999999999899</v>
      </c>
      <c r="M208" s="77">
        <v>-1.0510000000000586</v>
      </c>
      <c r="N208" s="77">
        <v>-0.34300000000000463</v>
      </c>
      <c r="O208" s="77">
        <v>-0.89299999999997448</v>
      </c>
      <c r="P208" s="81"/>
      <c r="Q208" s="280">
        <v>-3.9279999999999999</v>
      </c>
      <c r="R208" s="81">
        <v>-2.2480000000000002</v>
      </c>
      <c r="S208" s="81">
        <v>-11.32600000000005</v>
      </c>
      <c r="T208" s="81">
        <v>-8.4330000000000638</v>
      </c>
      <c r="U208" s="81">
        <v>-6.4840000000000053</v>
      </c>
      <c r="V208" s="81">
        <v>-1.1420000000000012</v>
      </c>
      <c r="W208" s="81">
        <v>-4.3359999999999133</v>
      </c>
      <c r="X208" s="81">
        <v>-3.9499999999999638</v>
      </c>
      <c r="Y208" s="81">
        <v>-2.5549999999999748</v>
      </c>
      <c r="Z208" s="81">
        <v>-0.8370000000000033</v>
      </c>
      <c r="AA208" s="81">
        <v>-2.4150000000000276</v>
      </c>
      <c r="AB208" s="81">
        <v>-2.2870000000000377</v>
      </c>
      <c r="AC208" s="81">
        <v>-1.2359999999999791</v>
      </c>
      <c r="AD208" s="81">
        <v>-0.89299999999997448</v>
      </c>
    </row>
    <row r="209" spans="1:30">
      <c r="A209" s="38" t="s">
        <v>91</v>
      </c>
      <c r="B209" s="180">
        <v>1.7919999999999998</v>
      </c>
      <c r="C209" s="77">
        <v>1.8380000000000001</v>
      </c>
      <c r="D209" s="77">
        <v>2.5199999999999889</v>
      </c>
      <c r="E209" s="77">
        <v>1.6010000000000009</v>
      </c>
      <c r="F209" s="77">
        <v>1.5519999999999952</v>
      </c>
      <c r="G209" s="77">
        <v>1.4449999999999994</v>
      </c>
      <c r="H209" s="77">
        <v>1.694727272727242</v>
      </c>
      <c r="I209" s="77">
        <v>1.3640000000000079</v>
      </c>
      <c r="J209" s="77">
        <v>1.2869999999999919</v>
      </c>
      <c r="K209" s="77">
        <v>1.2430000000000021</v>
      </c>
      <c r="L209" s="77">
        <v>1.217999999999968</v>
      </c>
      <c r="M209" s="77">
        <v>0.86300000000002086</v>
      </c>
      <c r="N209" s="77">
        <v>0.9749999999999952</v>
      </c>
      <c r="O209" s="77">
        <v>1.3370000000000024</v>
      </c>
      <c r="P209" s="81"/>
      <c r="Q209" s="280">
        <v>3.63</v>
      </c>
      <c r="R209" s="81">
        <v>1.8380000000000001</v>
      </c>
      <c r="S209" s="81">
        <v>7.1179999999999843</v>
      </c>
      <c r="T209" s="81">
        <v>4.5979999999999954</v>
      </c>
      <c r="U209" s="81">
        <v>2.9969999999999946</v>
      </c>
      <c r="V209" s="81">
        <v>1.4449999999999994</v>
      </c>
      <c r="W209" s="81">
        <v>5.5887272727272439</v>
      </c>
      <c r="X209" s="81">
        <v>3.8940000000000019</v>
      </c>
      <c r="Y209" s="81">
        <v>2.529999999999994</v>
      </c>
      <c r="Z209" s="81">
        <v>1.2430000000000021</v>
      </c>
      <c r="AA209" s="81">
        <v>4.3929999999999865</v>
      </c>
      <c r="AB209" s="81">
        <v>3.1750000000000185</v>
      </c>
      <c r="AC209" s="81">
        <v>2.3119999999999976</v>
      </c>
      <c r="AD209" s="81">
        <v>1.3370000000000024</v>
      </c>
    </row>
    <row r="210" spans="1:30">
      <c r="A210" s="38" t="s">
        <v>36</v>
      </c>
      <c r="B210" s="180">
        <v>1.8</v>
      </c>
      <c r="C210" s="77">
        <v>0.45800000000000002</v>
      </c>
      <c r="D210" s="77">
        <v>-1.257000000000013</v>
      </c>
      <c r="E210" s="77">
        <v>2.8250000000000122</v>
      </c>
      <c r="F210" s="77">
        <v>-0.11500000000000421</v>
      </c>
      <c r="G210" s="77">
        <v>1.7219999999999951</v>
      </c>
      <c r="H210" s="77">
        <v>2.5509999999999922</v>
      </c>
      <c r="I210" s="77">
        <v>2.1040000000000281</v>
      </c>
      <c r="J210" s="77">
        <v>1.2639999999999925</v>
      </c>
      <c r="K210" s="77">
        <v>-7.8000000000002734E-2</v>
      </c>
      <c r="L210" s="77">
        <v>-1.1950000000000229</v>
      </c>
      <c r="M210" s="77">
        <v>2.2200000000000073</v>
      </c>
      <c r="N210" s="77">
        <v>2.0000000000006235E-2</v>
      </c>
      <c r="O210" s="77">
        <v>-0.10200000000000253</v>
      </c>
      <c r="P210" s="81"/>
      <c r="Q210" s="280">
        <v>2.258</v>
      </c>
      <c r="R210" s="81">
        <v>0.45800000000000002</v>
      </c>
      <c r="S210" s="81">
        <v>3.1749999999999901</v>
      </c>
      <c r="T210" s="81">
        <v>4.432000000000003</v>
      </c>
      <c r="U210" s="81">
        <v>1.6069999999999909</v>
      </c>
      <c r="V210" s="81">
        <v>1.7219999999999951</v>
      </c>
      <c r="W210" s="81">
        <v>5.84100000000001</v>
      </c>
      <c r="X210" s="81">
        <v>3.2900000000000178</v>
      </c>
      <c r="Y210" s="81">
        <v>1.1859999999999897</v>
      </c>
      <c r="Z210" s="81">
        <v>-7.8000000000002734E-2</v>
      </c>
      <c r="AA210" s="81">
        <v>0.94299999999998807</v>
      </c>
      <c r="AB210" s="81">
        <v>2.138000000000011</v>
      </c>
      <c r="AC210" s="81">
        <v>-8.1999999999996298E-2</v>
      </c>
      <c r="AD210" s="81">
        <v>-0.10200000000000253</v>
      </c>
    </row>
    <row r="211" spans="1:30">
      <c r="A211" s="19" t="s">
        <v>37</v>
      </c>
      <c r="B211" s="282">
        <v>1.9119999999999999</v>
      </c>
      <c r="C211" s="233">
        <v>4.8000000000000001E-2</v>
      </c>
      <c r="D211" s="233">
        <v>-1.6299999999998747</v>
      </c>
      <c r="E211" s="233">
        <v>2.4769999999998547</v>
      </c>
      <c r="F211" s="233">
        <v>-3.9049999999999834</v>
      </c>
      <c r="G211" s="233">
        <v>2.0250000000000021</v>
      </c>
      <c r="H211" s="233">
        <v>3.8597272727273157</v>
      </c>
      <c r="I211" s="233">
        <v>2.0729999999999169</v>
      </c>
      <c r="J211" s="233">
        <v>0.83299999999999752</v>
      </c>
      <c r="K211" s="233">
        <v>0.32800000000004115</v>
      </c>
      <c r="L211" s="233">
        <v>-0.10499999999991516</v>
      </c>
      <c r="M211" s="233">
        <v>2.0319999999999716</v>
      </c>
      <c r="N211" s="233">
        <v>0.65200000000000458</v>
      </c>
      <c r="O211" s="233">
        <v>0.34200000000002362</v>
      </c>
      <c r="P211" s="83"/>
      <c r="Q211" s="281">
        <v>1.96</v>
      </c>
      <c r="R211" s="83">
        <v>4.8000000000000001E-2</v>
      </c>
      <c r="S211" s="83">
        <v>-1.0330000000000013</v>
      </c>
      <c r="T211" s="83">
        <v>0.59699999999987341</v>
      </c>
      <c r="U211" s="83">
        <v>-1.8799999999999812</v>
      </c>
      <c r="V211" s="83">
        <v>2.0250000000000021</v>
      </c>
      <c r="W211" s="83">
        <v>7.0937272727272713</v>
      </c>
      <c r="X211" s="83">
        <v>3.2339999999999556</v>
      </c>
      <c r="Y211" s="83">
        <v>1.1610000000000387</v>
      </c>
      <c r="Z211" s="83">
        <v>0.32800000000004115</v>
      </c>
      <c r="AA211" s="83">
        <v>2.9210000000000846</v>
      </c>
      <c r="AB211" s="83">
        <v>3.0259999999999998</v>
      </c>
      <c r="AC211" s="83">
        <v>0.99400000000002819</v>
      </c>
      <c r="AD211" s="83">
        <v>0.34200000000002362</v>
      </c>
    </row>
    <row r="212" spans="1:30">
      <c r="A212" s="19" t="s">
        <v>40</v>
      </c>
      <c r="B212" s="282">
        <v>-8.0339999999999989</v>
      </c>
      <c r="C212" s="233">
        <v>-6.665</v>
      </c>
      <c r="D212" s="233">
        <v>-13.426999999999992</v>
      </c>
      <c r="E212" s="233">
        <v>-6.5630000000000024</v>
      </c>
      <c r="F212" s="233">
        <v>-9.5399999999999814</v>
      </c>
      <c r="G212" s="233">
        <v>-5.6820000000000048</v>
      </c>
      <c r="H212" s="233">
        <v>-7.225750000000037</v>
      </c>
      <c r="I212" s="233">
        <v>-10.677249999999962</v>
      </c>
      <c r="J212" s="233">
        <v>-4.9850000000000083</v>
      </c>
      <c r="K212" s="233">
        <v>-3.2750000000000004</v>
      </c>
      <c r="L212" s="233">
        <v>-8.6860000000000426</v>
      </c>
      <c r="M212" s="233">
        <v>-6.7629999999999537</v>
      </c>
      <c r="N212" s="233">
        <v>-7.0440000000000165</v>
      </c>
      <c r="O212" s="233">
        <v>-2.3219999999999992</v>
      </c>
      <c r="P212" s="83"/>
      <c r="Q212" s="281">
        <v>-14.699</v>
      </c>
      <c r="R212" s="83">
        <v>-6.665</v>
      </c>
      <c r="S212" s="83">
        <v>-35.211999999999982</v>
      </c>
      <c r="T212" s="83">
        <v>-21.784999999999989</v>
      </c>
      <c r="U212" s="83">
        <v>-15.221999999999987</v>
      </c>
      <c r="V212" s="83">
        <v>-5.6820000000000048</v>
      </c>
      <c r="W212" s="83">
        <v>-26.163000000000007</v>
      </c>
      <c r="X212" s="83">
        <v>-18.93724999999997</v>
      </c>
      <c r="Y212" s="83">
        <v>-8.2600000000000087</v>
      </c>
      <c r="Z212" s="83">
        <v>-3.2750000000000004</v>
      </c>
      <c r="AA212" s="83">
        <v>-24.815000000000012</v>
      </c>
      <c r="AB212" s="83">
        <v>-16.128999999999969</v>
      </c>
      <c r="AC212" s="83">
        <v>-9.3660000000000156</v>
      </c>
      <c r="AD212" s="83">
        <v>-2.3219999999999992</v>
      </c>
    </row>
    <row r="213" spans="1:30">
      <c r="A213" s="19" t="s">
        <v>92</v>
      </c>
      <c r="B213" s="282">
        <v>-6.1220000000000008</v>
      </c>
      <c r="C213" s="233">
        <v>-6.617</v>
      </c>
      <c r="D213" s="233">
        <v>-15.056999999999931</v>
      </c>
      <c r="E213" s="233">
        <v>-4.0860000000001371</v>
      </c>
      <c r="F213" s="233">
        <v>-13.444999999999943</v>
      </c>
      <c r="G213" s="233">
        <v>-3.656999999999992</v>
      </c>
      <c r="H213" s="233">
        <v>-3.3660227272727568</v>
      </c>
      <c r="I213" s="233">
        <v>-8.6042499999999951</v>
      </c>
      <c r="J213" s="233">
        <v>-4.1520000000000232</v>
      </c>
      <c r="K213" s="233">
        <v>-2.9469999999999752</v>
      </c>
      <c r="L213" s="233">
        <v>-8.7909999999998263</v>
      </c>
      <c r="M213" s="233">
        <v>-4.7310000000000496</v>
      </c>
      <c r="N213" s="233">
        <v>-6.3920000000000368</v>
      </c>
      <c r="O213" s="233">
        <v>-1.9799999999999787</v>
      </c>
      <c r="P213" s="83"/>
      <c r="Q213" s="281">
        <v>-12.739000000000001</v>
      </c>
      <c r="R213" s="83">
        <v>-6.617</v>
      </c>
      <c r="S213" s="83">
        <v>-36.245000000000005</v>
      </c>
      <c r="T213" s="83">
        <v>-21.188000000000073</v>
      </c>
      <c r="U213" s="83">
        <v>-17.101999999999936</v>
      </c>
      <c r="V213" s="83">
        <v>-3.656999999999992</v>
      </c>
      <c r="W213" s="83">
        <v>-19.06927272727275</v>
      </c>
      <c r="X213" s="83">
        <v>-15.703249999999993</v>
      </c>
      <c r="Y213" s="83">
        <v>-7.0989999999999984</v>
      </c>
      <c r="Z213" s="83">
        <v>-2.9469999999999752</v>
      </c>
      <c r="AA213" s="83">
        <v>-21.893999999999892</v>
      </c>
      <c r="AB213" s="83">
        <v>-13.103000000000065</v>
      </c>
      <c r="AC213" s="83">
        <v>-8.3720000000000159</v>
      </c>
      <c r="AD213" s="83">
        <v>-1.9799999999999787</v>
      </c>
    </row>
    <row r="214" spans="1:30" ht="27.75" customHeight="1">
      <c r="A214" s="79" t="s">
        <v>507</v>
      </c>
      <c r="B214" s="180">
        <v>-9.2000000000000082E-2</v>
      </c>
      <c r="C214" s="77">
        <v>-0.58399999999999996</v>
      </c>
      <c r="D214" s="77">
        <v>-2.000000000005997E-3</v>
      </c>
      <c r="E214" s="77">
        <v>-2.6999999999998914E-2</v>
      </c>
      <c r="F214" s="77">
        <v>-1.7999999999998573E-2</v>
      </c>
      <c r="G214" s="77">
        <v>-3.0000000000007798E-3</v>
      </c>
      <c r="H214" s="77">
        <v>-0.1160000000000001</v>
      </c>
      <c r="I214" s="77">
        <v>8.7000000000001854E-2</v>
      </c>
      <c r="J214" s="77">
        <v>1.8249999999999984</v>
      </c>
      <c r="K214" s="77">
        <v>-1.8419999999999994</v>
      </c>
      <c r="L214" s="77">
        <v>-5.0670000000000055</v>
      </c>
      <c r="M214" s="77">
        <v>-0.11199999999999832</v>
      </c>
      <c r="N214" s="77">
        <v>4.0000000000013358E-3</v>
      </c>
      <c r="O214" s="77">
        <v>-8.3000000000000185E-2</v>
      </c>
      <c r="P214" s="81"/>
      <c r="Q214" s="280">
        <v>-0.67600000000000005</v>
      </c>
      <c r="R214" s="81">
        <v>-0.58399999999999996</v>
      </c>
      <c r="S214" s="81">
        <v>-5.0000000000004263E-2</v>
      </c>
      <c r="T214" s="81">
        <v>-4.7999999999998266E-2</v>
      </c>
      <c r="U214" s="81">
        <v>-2.0999999999999353E-2</v>
      </c>
      <c r="V214" s="81">
        <v>-3.0000000000007798E-3</v>
      </c>
      <c r="W214" s="81">
        <v>-4.5999999999999375E-2</v>
      </c>
      <c r="X214" s="81">
        <v>7.0000000000000728E-2</v>
      </c>
      <c r="Y214" s="81">
        <v>-1.7000000000001125E-2</v>
      </c>
      <c r="Z214" s="81">
        <v>-1.8419999999999994</v>
      </c>
      <c r="AA214" s="81">
        <v>-5.2580000000000027</v>
      </c>
      <c r="AB214" s="81">
        <v>-0.19099999999999717</v>
      </c>
      <c r="AC214" s="81">
        <v>-7.8999999999998849E-2</v>
      </c>
      <c r="AD214" s="81">
        <v>-8.3000000000000185E-2</v>
      </c>
    </row>
    <row r="215" spans="1:30">
      <c r="A215" s="38" t="s">
        <v>93</v>
      </c>
      <c r="B215" s="180">
        <v>0.33499999999999996</v>
      </c>
      <c r="C215" s="77">
        <v>-0.192</v>
      </c>
      <c r="D215" s="77">
        <v>-2.6270000000000042</v>
      </c>
      <c r="E215" s="77">
        <v>3.0180000000000007</v>
      </c>
      <c r="F215" s="77">
        <v>0.32</v>
      </c>
      <c r="G215" s="77">
        <v>-1.3000000000000636E-2</v>
      </c>
      <c r="H215" s="77">
        <v>-0.40700000000000092</v>
      </c>
      <c r="I215" s="77">
        <v>-0.12599999999999856</v>
      </c>
      <c r="J215" s="77">
        <v>-5.3319999999999999</v>
      </c>
      <c r="K215" s="77">
        <v>-6.5000000000000058E-2</v>
      </c>
      <c r="L215" s="77">
        <v>-1.1859999999999984</v>
      </c>
      <c r="M215" s="77">
        <v>-0.16799999999999804</v>
      </c>
      <c r="N215" s="77">
        <v>0.16399999999999959</v>
      </c>
      <c r="O215" s="77">
        <v>-0.43299999999999983</v>
      </c>
      <c r="P215" s="81"/>
      <c r="Q215" s="280">
        <v>0.14299999999999999</v>
      </c>
      <c r="R215" s="81">
        <v>-0.192</v>
      </c>
      <c r="S215" s="81">
        <v>0.69799999999999618</v>
      </c>
      <c r="T215" s="81">
        <v>3.3250000000000002</v>
      </c>
      <c r="U215" s="81">
        <v>0.30699999999999938</v>
      </c>
      <c r="V215" s="81">
        <v>-1.3000000000000636E-2</v>
      </c>
      <c r="W215" s="81">
        <v>-5.93</v>
      </c>
      <c r="X215" s="81">
        <v>-5.5229999999999988</v>
      </c>
      <c r="Y215" s="81">
        <v>-5.3970000000000002</v>
      </c>
      <c r="Z215" s="81">
        <v>-6.5000000000000058E-2</v>
      </c>
      <c r="AA215" s="81">
        <v>-1.6229999999999967</v>
      </c>
      <c r="AB215" s="81">
        <v>-0.43699999999999828</v>
      </c>
      <c r="AC215" s="81">
        <v>-0.26900000000000024</v>
      </c>
      <c r="AD215" s="81">
        <v>-0.43299999999999983</v>
      </c>
    </row>
    <row r="216" spans="1:30">
      <c r="A216" s="38" t="s">
        <v>94</v>
      </c>
      <c r="B216" s="180">
        <v>-1</v>
      </c>
      <c r="C216" s="77">
        <v>2.355</v>
      </c>
      <c r="D216" s="77">
        <v>4.2110000000000003</v>
      </c>
      <c r="E216" s="77">
        <v>-2.4740000000000002</v>
      </c>
      <c r="F216" s="77">
        <v>0.22100000000000009</v>
      </c>
      <c r="G216" s="77">
        <v>-1.5740000000000001</v>
      </c>
      <c r="H216" s="77">
        <v>-26.382000000000001</v>
      </c>
      <c r="I216" s="77">
        <v>1.7969999999999997</v>
      </c>
      <c r="J216" s="77">
        <v>7.2330000000000005</v>
      </c>
      <c r="K216" s="77">
        <v>-9.7949999999999999</v>
      </c>
      <c r="L216" s="77">
        <v>-7.4890000000000008</v>
      </c>
      <c r="M216" s="77">
        <v>-6.4469999999999992</v>
      </c>
      <c r="N216" s="77">
        <v>-7.8329999999999993</v>
      </c>
      <c r="O216" s="77">
        <v>-6.3150000000000004</v>
      </c>
      <c r="P216" s="81"/>
      <c r="Q216" s="280">
        <v>1.355</v>
      </c>
      <c r="R216" s="81">
        <v>2.355</v>
      </c>
      <c r="S216" s="81">
        <v>0.38400000000000001</v>
      </c>
      <c r="T216" s="81">
        <v>-3.827</v>
      </c>
      <c r="U216" s="81">
        <v>-1.353</v>
      </c>
      <c r="V216" s="81">
        <v>-1.5740000000000001</v>
      </c>
      <c r="W216" s="81">
        <v>-27.147000000000002</v>
      </c>
      <c r="X216" s="81">
        <v>-0.76500000000000012</v>
      </c>
      <c r="Y216" s="81">
        <v>-2.5619999999999998</v>
      </c>
      <c r="Z216" s="81">
        <v>-9.7949999999999999</v>
      </c>
      <c r="AA216" s="81">
        <v>-28.084</v>
      </c>
      <c r="AB216" s="81">
        <v>-20.594999999999999</v>
      </c>
      <c r="AC216" s="81">
        <v>-14.148</v>
      </c>
      <c r="AD216" s="81">
        <v>-6.3150000000000004</v>
      </c>
    </row>
    <row r="217" spans="1:30">
      <c r="A217" s="38" t="s">
        <v>95</v>
      </c>
      <c r="B217" s="180">
        <v>0</v>
      </c>
      <c r="C217" s="77">
        <v>0</v>
      </c>
      <c r="D217" s="77">
        <v>0</v>
      </c>
      <c r="E217" s="77">
        <v>0</v>
      </c>
      <c r="F217" s="77">
        <v>0</v>
      </c>
      <c r="G217" s="77">
        <v>0</v>
      </c>
      <c r="H217" s="77">
        <v>0</v>
      </c>
      <c r="I217" s="77">
        <v>0</v>
      </c>
      <c r="J217" s="77">
        <v>0</v>
      </c>
      <c r="K217" s="77">
        <v>0</v>
      </c>
      <c r="L217" s="77">
        <v>0</v>
      </c>
      <c r="M217" s="77">
        <v>0</v>
      </c>
      <c r="N217" s="77">
        <v>0</v>
      </c>
      <c r="O217" s="77">
        <v>0</v>
      </c>
      <c r="P217" s="81"/>
      <c r="Q217" s="280">
        <v>0</v>
      </c>
      <c r="R217" s="81">
        <v>0</v>
      </c>
      <c r="S217" s="81">
        <v>0</v>
      </c>
      <c r="T217" s="81">
        <v>0</v>
      </c>
      <c r="U217" s="81">
        <v>0</v>
      </c>
      <c r="V217" s="81">
        <v>0</v>
      </c>
      <c r="W217" s="81">
        <v>0</v>
      </c>
      <c r="X217" s="81">
        <v>0</v>
      </c>
      <c r="Y217" s="81">
        <v>0</v>
      </c>
      <c r="Z217" s="81">
        <v>0</v>
      </c>
      <c r="AA217" s="81">
        <v>0</v>
      </c>
      <c r="AB217" s="81">
        <v>0</v>
      </c>
      <c r="AC217" s="81">
        <v>0</v>
      </c>
      <c r="AD217" s="81">
        <v>0</v>
      </c>
    </row>
    <row r="218" spans="1:30">
      <c r="A218" s="19" t="s">
        <v>96</v>
      </c>
      <c r="B218" s="282">
        <v>-6.8789999999999996</v>
      </c>
      <c r="C218" s="233">
        <v>-5.0380000000000003</v>
      </c>
      <c r="D218" s="233">
        <v>-13.474999999999973</v>
      </c>
      <c r="E218" s="233">
        <v>-3.5690000000001199</v>
      </c>
      <c r="F218" s="233">
        <v>-12.92199999999993</v>
      </c>
      <c r="G218" s="233">
        <v>-5.246999999999999</v>
      </c>
      <c r="H218" s="233">
        <v>-30.271022727272786</v>
      </c>
      <c r="I218" s="233">
        <v>-6.8462499999999586</v>
      </c>
      <c r="J218" s="233">
        <v>-0.42600000000004457</v>
      </c>
      <c r="K218" s="233">
        <v>-14.648999999999941</v>
      </c>
      <c r="L218" s="233">
        <v>-22.53299999999988</v>
      </c>
      <c r="M218" s="233">
        <v>-11.458000000000062</v>
      </c>
      <c r="N218" s="233">
        <v>-14.057000000000063</v>
      </c>
      <c r="O218" s="233">
        <v>-8.8109999999999609</v>
      </c>
      <c r="P218" s="83"/>
      <c r="Q218" s="281">
        <v>-11.917</v>
      </c>
      <c r="R218" s="83">
        <v>-5.0380000000000003</v>
      </c>
      <c r="S218" s="83">
        <v>-35.213000000000022</v>
      </c>
      <c r="T218" s="83">
        <v>-21.738000000000049</v>
      </c>
      <c r="U218" s="83">
        <v>-18.168999999999929</v>
      </c>
      <c r="V218" s="83">
        <v>-5.246999999999999</v>
      </c>
      <c r="W218" s="83">
        <v>-52.19227272727273</v>
      </c>
      <c r="X218" s="83">
        <v>-21.921249999999944</v>
      </c>
      <c r="Y218" s="83">
        <v>-15.074999999999985</v>
      </c>
      <c r="Z218" s="83">
        <v>-14.648999999999941</v>
      </c>
      <c r="AA218" s="83">
        <v>-56.858999999999966</v>
      </c>
      <c r="AB218" s="83">
        <v>-34.326000000000086</v>
      </c>
      <c r="AC218" s="83">
        <v>-22.868000000000023</v>
      </c>
      <c r="AD218" s="83">
        <v>-8.8109999999999609</v>
      </c>
    </row>
    <row r="219" spans="1:30">
      <c r="A219" s="38" t="s">
        <v>45</v>
      </c>
      <c r="B219" s="180">
        <v>0.89300000000000002</v>
      </c>
      <c r="C219" s="77">
        <v>-0.14699999999999999</v>
      </c>
      <c r="D219" s="77">
        <v>-18.640874999999991</v>
      </c>
      <c r="E219" s="77">
        <v>-4.3101250000000029</v>
      </c>
      <c r="F219" s="77">
        <v>2.8507499999999912</v>
      </c>
      <c r="G219" s="77">
        <v>-3.0207499999999974</v>
      </c>
      <c r="H219" s="77">
        <v>-1.3839500000000118</v>
      </c>
      <c r="I219" s="77">
        <v>-1.9355499999999988</v>
      </c>
      <c r="J219" s="77">
        <v>0.24729999999999552</v>
      </c>
      <c r="K219" s="77">
        <v>0.74319999999999942</v>
      </c>
      <c r="L219" s="77">
        <v>11.548624999999999</v>
      </c>
      <c r="M219" s="77">
        <v>-3.4993749999999917</v>
      </c>
      <c r="N219" s="77">
        <v>-2.0087500000000009</v>
      </c>
      <c r="O219" s="77">
        <v>-2.8717500000000022</v>
      </c>
      <c r="P219" s="81"/>
      <c r="Q219" s="280">
        <v>0.746</v>
      </c>
      <c r="R219" s="81">
        <v>-0.14699999999999999</v>
      </c>
      <c r="S219" s="81">
        <v>-23.120999999999999</v>
      </c>
      <c r="T219" s="81">
        <v>-4.480125000000009</v>
      </c>
      <c r="U219" s="81">
        <v>-0.17000000000000626</v>
      </c>
      <c r="V219" s="81">
        <v>-3.0207499999999974</v>
      </c>
      <c r="W219" s="81">
        <v>-2.3290000000000157</v>
      </c>
      <c r="X219" s="81">
        <v>-0.94505000000000394</v>
      </c>
      <c r="Y219" s="81">
        <v>0.99049999999999494</v>
      </c>
      <c r="Z219" s="81">
        <v>0.74319999999999942</v>
      </c>
      <c r="AA219" s="81">
        <v>3.1687500000000051</v>
      </c>
      <c r="AB219" s="81">
        <v>-8.3798749999999949</v>
      </c>
      <c r="AC219" s="81">
        <v>-4.8805000000000032</v>
      </c>
      <c r="AD219" s="81">
        <v>-2.8717500000000022</v>
      </c>
    </row>
    <row r="220" spans="1:30">
      <c r="A220" s="38" t="s">
        <v>97</v>
      </c>
      <c r="B220" s="180">
        <v>0.27900000000000003</v>
      </c>
      <c r="C220" s="77">
        <v>-7.9000000000000001E-2</v>
      </c>
      <c r="D220" s="77">
        <v>-0.77610000000000023</v>
      </c>
      <c r="E220" s="77">
        <v>0.55649999999999999</v>
      </c>
      <c r="F220" s="77">
        <v>-0.40700000000000003</v>
      </c>
      <c r="G220" s="77">
        <v>3.8499999999999979E-2</v>
      </c>
      <c r="H220" s="77">
        <v>-1.5979000000000001</v>
      </c>
      <c r="I220" s="77">
        <v>1.0240625000000001</v>
      </c>
      <c r="J220" s="77">
        <v>0.19150000000000011</v>
      </c>
      <c r="K220" s="77">
        <v>6.1000000000000054E-2</v>
      </c>
      <c r="L220" s="77">
        <v>0.53299999999999992</v>
      </c>
      <c r="M220" s="77">
        <v>8.4000000000000075E-2</v>
      </c>
      <c r="N220" s="77">
        <v>0.58299999999999996</v>
      </c>
      <c r="O220" s="77">
        <v>4.6999999999999931E-2</v>
      </c>
      <c r="P220" s="81"/>
      <c r="Q220" s="280">
        <v>0.2</v>
      </c>
      <c r="R220" s="81">
        <v>-7.9000000000000001E-2</v>
      </c>
      <c r="S220" s="81">
        <v>-0.58810000000000029</v>
      </c>
      <c r="T220" s="81">
        <v>0.18799999999999994</v>
      </c>
      <c r="U220" s="81">
        <v>-0.36850000000000005</v>
      </c>
      <c r="V220" s="81">
        <v>3.8499999999999979E-2</v>
      </c>
      <c r="W220" s="81">
        <v>-0.32133749999999983</v>
      </c>
      <c r="X220" s="81">
        <v>1.2765625000000003</v>
      </c>
      <c r="Y220" s="81">
        <v>0.25250000000000017</v>
      </c>
      <c r="Z220" s="81">
        <v>6.1000000000000054E-2</v>
      </c>
      <c r="AA220" s="81">
        <v>1.2469999999999999</v>
      </c>
      <c r="AB220" s="81">
        <v>0.71399999999999997</v>
      </c>
      <c r="AC220" s="81">
        <v>0.62999999999999989</v>
      </c>
      <c r="AD220" s="81">
        <v>4.6999999999999931E-2</v>
      </c>
    </row>
    <row r="221" spans="1:30">
      <c r="A221" s="19" t="s">
        <v>98</v>
      </c>
      <c r="B221" s="282">
        <v>-5.7069999999999999</v>
      </c>
      <c r="C221" s="233">
        <v>-5.2640000000000002</v>
      </c>
      <c r="D221" s="233">
        <v>-32.891974999999988</v>
      </c>
      <c r="E221" s="233">
        <v>-7.3226250000000839</v>
      </c>
      <c r="F221" s="233">
        <v>-10.478249999999932</v>
      </c>
      <c r="G221" s="233">
        <v>-8.2292500000000146</v>
      </c>
      <c r="H221" s="233">
        <v>-33.252872727272901</v>
      </c>
      <c r="I221" s="233">
        <v>-7.7577374999998785</v>
      </c>
      <c r="J221" s="233">
        <v>1.2799999999950629E-2</v>
      </c>
      <c r="K221" s="233">
        <v>-13.84479999999996</v>
      </c>
      <c r="L221" s="233">
        <v>-10.451374999999864</v>
      </c>
      <c r="M221" s="233">
        <v>-14.873375000000085</v>
      </c>
      <c r="N221" s="233">
        <v>-15.482750000000049</v>
      </c>
      <c r="O221" s="233">
        <v>-11.63574999999998</v>
      </c>
      <c r="P221" s="83"/>
      <c r="Q221" s="281">
        <v>-10.971</v>
      </c>
      <c r="R221" s="83">
        <v>-5.2640000000000002</v>
      </c>
      <c r="S221" s="83">
        <v>-58.922100000000015</v>
      </c>
      <c r="T221" s="83">
        <v>-26.03012500000003</v>
      </c>
      <c r="U221" s="83">
        <v>-18.707499999999946</v>
      </c>
      <c r="V221" s="83">
        <v>-8.2292500000000146</v>
      </c>
      <c r="W221" s="83">
        <v>-54.842610227272786</v>
      </c>
      <c r="X221" s="83">
        <v>-21.589737499999888</v>
      </c>
      <c r="Y221" s="83">
        <v>-13.83200000000001</v>
      </c>
      <c r="Z221" s="83">
        <v>-13.84479999999996</v>
      </c>
      <c r="AA221" s="83">
        <v>-52.443249999999978</v>
      </c>
      <c r="AB221" s="83">
        <v>-41.991875000000114</v>
      </c>
      <c r="AC221" s="83">
        <v>-27.118500000000029</v>
      </c>
      <c r="AD221" s="83">
        <v>-11.63574999999998</v>
      </c>
    </row>
    <row r="223" spans="1:30">
      <c r="A223" s="24"/>
      <c r="B223" s="24"/>
      <c r="C223" s="24"/>
      <c r="D223" s="24"/>
      <c r="E223" s="24"/>
      <c r="F223" s="24"/>
      <c r="G223" s="24"/>
      <c r="H223" s="24"/>
      <c r="I223" s="24"/>
      <c r="J223" s="24"/>
      <c r="K223" s="24"/>
      <c r="L223" s="24"/>
      <c r="M223" s="24"/>
      <c r="N223" s="24"/>
      <c r="O223" s="24"/>
      <c r="P223" s="86"/>
      <c r="Q223" s="86"/>
      <c r="R223" s="86"/>
      <c r="S223" s="86"/>
      <c r="T223" s="86"/>
      <c r="U223" s="86"/>
      <c r="V223" s="86"/>
      <c r="W223" s="86"/>
      <c r="X223" s="86"/>
      <c r="Y223" s="86"/>
      <c r="Z223" s="86"/>
      <c r="AA223" s="86"/>
      <c r="AB223" s="86"/>
      <c r="AC223" s="86"/>
      <c r="AD223" s="86"/>
    </row>
    <row r="224" spans="1:30" ht="24.95" customHeight="1">
      <c r="A224" s="323" t="s">
        <v>575</v>
      </c>
      <c r="B224" s="323"/>
      <c r="C224" s="323"/>
      <c r="D224" s="323"/>
      <c r="E224" s="323"/>
      <c r="F224" s="323"/>
      <c r="G224" s="323"/>
      <c r="H224" s="323"/>
      <c r="I224" s="323"/>
      <c r="J224" s="323"/>
      <c r="K224" s="323"/>
      <c r="L224" s="323"/>
      <c r="M224" s="323"/>
      <c r="N224" s="323"/>
      <c r="O224" s="323"/>
      <c r="P224" s="325"/>
      <c r="Q224" s="325"/>
      <c r="R224" s="325"/>
      <c r="S224" s="325"/>
      <c r="T224" s="325"/>
      <c r="U224" s="325"/>
      <c r="V224" s="325"/>
      <c r="W224" s="325"/>
      <c r="X224" s="325"/>
      <c r="Y224" s="325"/>
      <c r="Z224" s="325"/>
      <c r="AA224" s="325"/>
      <c r="AB224" s="325"/>
      <c r="AC224" s="325"/>
      <c r="AD224" s="325"/>
    </row>
    <row r="225" spans="1:30" ht="24.95" customHeight="1">
      <c r="A225" s="323" t="s">
        <v>580</v>
      </c>
      <c r="B225" s="323"/>
      <c r="C225" s="323"/>
      <c r="D225" s="323"/>
      <c r="E225" s="323"/>
      <c r="F225" s="323"/>
      <c r="G225" s="323"/>
      <c r="H225" s="323"/>
      <c r="I225" s="323"/>
      <c r="J225" s="323"/>
      <c r="K225" s="323"/>
      <c r="L225" s="323"/>
      <c r="M225" s="323"/>
      <c r="N225" s="323"/>
      <c r="O225" s="323"/>
      <c r="P225" s="325"/>
      <c r="Q225" s="325"/>
      <c r="R225" s="325"/>
      <c r="S225" s="325"/>
      <c r="T225" s="325"/>
      <c r="U225" s="325"/>
      <c r="V225" s="325"/>
      <c r="W225" s="325"/>
      <c r="X225" s="325"/>
      <c r="Y225" s="325"/>
      <c r="Z225" s="325"/>
      <c r="AA225" s="325"/>
      <c r="AB225" s="325"/>
      <c r="AC225" s="325"/>
      <c r="AD225" s="325"/>
    </row>
    <row r="226" spans="1:30" ht="34.5" customHeight="1">
      <c r="A226" s="323" t="s">
        <v>543</v>
      </c>
      <c r="B226" s="323"/>
      <c r="C226" s="323"/>
      <c r="D226" s="323"/>
      <c r="E226" s="323"/>
      <c r="F226" s="323"/>
      <c r="G226" s="323"/>
      <c r="H226" s="323"/>
      <c r="I226" s="323"/>
      <c r="J226" s="323"/>
      <c r="K226" s="323"/>
      <c r="L226" s="323"/>
      <c r="M226" s="323"/>
      <c r="N226" s="323"/>
      <c r="O226" s="323"/>
      <c r="P226" s="323"/>
      <c r="Q226" s="323"/>
      <c r="R226" s="323"/>
      <c r="S226" s="323"/>
      <c r="T226" s="323"/>
      <c r="U226" s="323"/>
      <c r="V226" s="323"/>
      <c r="W226" s="323"/>
      <c r="X226" s="323"/>
      <c r="Y226" s="323"/>
      <c r="Z226" s="323"/>
      <c r="AA226" s="323"/>
      <c r="AB226" s="323"/>
      <c r="AC226" s="323"/>
      <c r="AD226" s="323"/>
    </row>
    <row r="227" spans="1:30" ht="19.5" customHeight="1">
      <c r="A227" s="323" t="s">
        <v>544</v>
      </c>
      <c r="B227" s="323"/>
      <c r="C227" s="323"/>
      <c r="D227" s="323"/>
      <c r="E227" s="323"/>
      <c r="F227" s="323"/>
      <c r="G227" s="323"/>
      <c r="H227" s="323"/>
      <c r="I227" s="323"/>
      <c r="J227" s="323"/>
      <c r="K227" s="323"/>
      <c r="L227" s="323"/>
      <c r="M227" s="323"/>
      <c r="N227" s="323"/>
      <c r="O227" s="323"/>
      <c r="P227" s="325"/>
      <c r="Q227" s="325"/>
      <c r="R227" s="325"/>
      <c r="S227" s="325"/>
      <c r="T227" s="325"/>
      <c r="U227" s="325"/>
      <c r="V227" s="325"/>
      <c r="W227" s="325"/>
      <c r="X227" s="325"/>
      <c r="Y227" s="325"/>
      <c r="Z227" s="325"/>
      <c r="AA227" s="325"/>
      <c r="AB227" s="325"/>
      <c r="AC227" s="325"/>
      <c r="AD227" s="325"/>
    </row>
    <row r="228" spans="1:30" ht="19.5" customHeight="1">
      <c r="A228" s="323" t="s">
        <v>545</v>
      </c>
      <c r="B228" s="323"/>
      <c r="C228" s="323"/>
      <c r="D228" s="323"/>
      <c r="E228" s="323"/>
      <c r="F228" s="323"/>
      <c r="G228" s="323"/>
      <c r="H228" s="323"/>
      <c r="I228" s="323"/>
      <c r="J228" s="323"/>
      <c r="K228" s="323"/>
      <c r="L228" s="323"/>
      <c r="M228" s="323"/>
      <c r="N228" s="323"/>
      <c r="O228" s="323"/>
      <c r="P228" s="325"/>
      <c r="Q228" s="325"/>
      <c r="R228" s="325"/>
      <c r="S228" s="325"/>
      <c r="T228" s="325"/>
      <c r="U228" s="325"/>
      <c r="V228" s="325"/>
      <c r="W228" s="325"/>
      <c r="X228" s="325"/>
      <c r="Y228" s="325"/>
      <c r="Z228" s="325"/>
      <c r="AA228" s="325"/>
      <c r="AB228" s="325"/>
      <c r="AC228" s="325"/>
      <c r="AD228" s="325"/>
    </row>
    <row r="229" spans="1:30" ht="19.5" customHeight="1">
      <c r="A229" s="323" t="s">
        <v>546</v>
      </c>
      <c r="B229" s="323"/>
      <c r="C229" s="323"/>
      <c r="D229" s="323"/>
      <c r="E229" s="323"/>
      <c r="F229" s="323"/>
      <c r="G229" s="323"/>
      <c r="H229" s="323"/>
      <c r="I229" s="323"/>
      <c r="J229" s="323"/>
      <c r="K229" s="323"/>
      <c r="L229" s="323"/>
      <c r="M229" s="323"/>
      <c r="N229" s="323"/>
      <c r="O229" s="323"/>
      <c r="P229" s="325"/>
      <c r="Q229" s="325"/>
      <c r="R229" s="325"/>
      <c r="S229" s="325"/>
      <c r="T229" s="325"/>
      <c r="U229" s="325"/>
      <c r="V229" s="325"/>
      <c r="W229" s="325"/>
      <c r="X229" s="325"/>
      <c r="Y229" s="325"/>
      <c r="Z229" s="325"/>
      <c r="AA229" s="325"/>
      <c r="AB229" s="325"/>
      <c r="AC229" s="325"/>
      <c r="AD229" s="325"/>
    </row>
    <row r="235" spans="1:30">
      <c r="Q235" s="173"/>
      <c r="R235" s="173"/>
      <c r="S235" s="173"/>
      <c r="T235" s="173"/>
      <c r="U235" s="173"/>
      <c r="V235" s="173"/>
      <c r="W235" s="173"/>
      <c r="X235" s="173"/>
      <c r="Y235" s="173"/>
      <c r="Z235" s="173"/>
      <c r="AA235" s="173"/>
      <c r="AB235" s="173"/>
      <c r="AC235" s="173"/>
      <c r="AD235" s="173"/>
    </row>
    <row r="236" spans="1:30">
      <c r="Q236" s="173"/>
      <c r="R236" s="173"/>
      <c r="S236" s="173"/>
      <c r="T236" s="173"/>
      <c r="U236" s="173"/>
      <c r="V236" s="173"/>
      <c r="W236" s="173"/>
      <c r="X236" s="173"/>
      <c r="Y236" s="173"/>
      <c r="Z236" s="173"/>
      <c r="AA236" s="173"/>
      <c r="AB236" s="173"/>
      <c r="AC236" s="173"/>
      <c r="AD236" s="173"/>
    </row>
    <row r="237" spans="1:30">
      <c r="Q237" s="173"/>
      <c r="R237" s="173"/>
      <c r="S237" s="173"/>
      <c r="T237" s="173"/>
      <c r="U237" s="173"/>
      <c r="V237" s="173"/>
      <c r="W237" s="173"/>
      <c r="X237" s="173"/>
      <c r="Y237" s="173"/>
      <c r="Z237" s="173"/>
      <c r="AA237" s="173"/>
      <c r="AB237" s="173"/>
      <c r="AC237" s="173"/>
      <c r="AD237" s="173"/>
    </row>
    <row r="238" spans="1:30">
      <c r="Q238" s="286"/>
      <c r="R238" s="286"/>
      <c r="S238" s="286"/>
      <c r="T238" s="286"/>
      <c r="U238" s="286"/>
      <c r="V238" s="286"/>
      <c r="W238" s="286"/>
      <c r="X238" s="286"/>
      <c r="Y238" s="286"/>
      <c r="Z238" s="286"/>
      <c r="AA238" s="286"/>
      <c r="AB238" s="286"/>
      <c r="AC238" s="286"/>
      <c r="AD238" s="286"/>
    </row>
    <row r="239" spans="1:30">
      <c r="Q239" s="286"/>
      <c r="R239" s="286"/>
      <c r="S239" s="286"/>
      <c r="T239" s="286"/>
      <c r="U239" s="286"/>
      <c r="V239" s="286"/>
      <c r="W239" s="286"/>
      <c r="X239" s="286"/>
      <c r="Y239" s="286"/>
      <c r="Z239" s="286"/>
      <c r="AA239" s="286"/>
      <c r="AB239" s="286"/>
      <c r="AC239" s="286"/>
      <c r="AD239" s="286"/>
    </row>
    <row r="240" spans="1:30">
      <c r="Q240" s="286"/>
      <c r="R240" s="286"/>
      <c r="S240" s="286"/>
      <c r="T240" s="286"/>
      <c r="U240" s="286"/>
      <c r="V240" s="286"/>
      <c r="W240" s="286"/>
      <c r="X240" s="286"/>
      <c r="Y240" s="286"/>
      <c r="Z240" s="286"/>
      <c r="AA240" s="286"/>
      <c r="AB240" s="286"/>
      <c r="AC240" s="286"/>
      <c r="AD240" s="286"/>
    </row>
    <row r="241" spans="17:30">
      <c r="Q241" s="173"/>
      <c r="R241" s="173"/>
      <c r="S241" s="173"/>
      <c r="T241" s="173"/>
      <c r="U241" s="173"/>
      <c r="V241" s="173"/>
      <c r="W241" s="173"/>
      <c r="X241" s="173"/>
      <c r="Y241" s="173"/>
      <c r="Z241" s="173"/>
      <c r="AA241" s="173"/>
      <c r="AB241" s="173"/>
      <c r="AC241" s="173"/>
      <c r="AD241" s="173"/>
    </row>
    <row r="242" spans="17:30">
      <c r="Q242" s="173"/>
      <c r="R242" s="173"/>
      <c r="S242" s="173"/>
      <c r="T242" s="173"/>
      <c r="U242" s="173"/>
      <c r="V242" s="173"/>
      <c r="W242" s="173"/>
      <c r="X242" s="173"/>
      <c r="Y242" s="173"/>
      <c r="Z242" s="173"/>
      <c r="AA242" s="173"/>
      <c r="AB242" s="173"/>
      <c r="AC242" s="173"/>
      <c r="AD242" s="173"/>
    </row>
    <row r="243" spans="17:30">
      <c r="Q243" s="173"/>
      <c r="R243" s="173"/>
      <c r="S243" s="173"/>
      <c r="T243" s="173"/>
      <c r="U243" s="173"/>
      <c r="V243" s="173"/>
      <c r="W243" s="173"/>
      <c r="X243" s="173"/>
      <c r="Y243" s="173"/>
      <c r="Z243" s="173"/>
      <c r="AA243" s="173"/>
      <c r="AB243" s="173"/>
      <c r="AC243" s="173"/>
      <c r="AD243" s="173"/>
    </row>
    <row r="244" spans="17:30">
      <c r="Q244" s="173"/>
      <c r="R244" s="173"/>
      <c r="S244" s="173"/>
      <c r="T244" s="173"/>
      <c r="U244" s="173"/>
      <c r="V244" s="173"/>
      <c r="W244" s="173"/>
      <c r="X244" s="173"/>
      <c r="Y244" s="173"/>
      <c r="Z244" s="173"/>
      <c r="AA244" s="173"/>
      <c r="AB244" s="173"/>
      <c r="AC244" s="173"/>
      <c r="AD244" s="173"/>
    </row>
    <row r="245" spans="17:30">
      <c r="Q245" s="286"/>
      <c r="R245" s="286"/>
      <c r="S245" s="286"/>
      <c r="T245" s="286"/>
      <c r="U245" s="286"/>
      <c r="V245" s="286"/>
      <c r="W245" s="286"/>
      <c r="X245" s="286"/>
      <c r="Y245" s="286"/>
      <c r="Z245" s="286"/>
      <c r="AA245" s="286"/>
      <c r="AB245" s="286"/>
      <c r="AC245" s="286"/>
      <c r="AD245" s="286"/>
    </row>
    <row r="246" spans="17:30">
      <c r="Q246" s="173"/>
      <c r="R246" s="173"/>
      <c r="S246" s="173"/>
      <c r="T246" s="173"/>
      <c r="U246" s="173"/>
      <c r="V246" s="173"/>
      <c r="W246" s="173"/>
      <c r="X246" s="173"/>
      <c r="Y246" s="173"/>
      <c r="Z246" s="173"/>
      <c r="AA246" s="173"/>
      <c r="AB246" s="173"/>
      <c r="AC246" s="173"/>
      <c r="AD246" s="173"/>
    </row>
    <row r="247" spans="17:30">
      <c r="Q247" s="173"/>
      <c r="R247" s="173"/>
      <c r="S247" s="173"/>
      <c r="T247" s="173"/>
      <c r="U247" s="173"/>
      <c r="V247" s="173"/>
      <c r="W247" s="173"/>
      <c r="X247" s="173"/>
      <c r="Y247" s="173"/>
      <c r="Z247" s="173"/>
      <c r="AA247" s="173"/>
      <c r="AB247" s="173"/>
      <c r="AC247" s="173"/>
      <c r="AD247" s="173"/>
    </row>
    <row r="248" spans="17:30">
      <c r="Q248" s="286"/>
      <c r="R248" s="286"/>
      <c r="S248" s="286"/>
      <c r="T248" s="286"/>
      <c r="U248" s="286"/>
      <c r="V248" s="286"/>
      <c r="W248" s="286"/>
      <c r="X248" s="286"/>
      <c r="Y248" s="286"/>
      <c r="Z248" s="286"/>
      <c r="AA248" s="286"/>
      <c r="AB248" s="286"/>
      <c r="AC248" s="286"/>
      <c r="AD248" s="286"/>
    </row>
    <row r="251" spans="17:30">
      <c r="Q251" s="173"/>
      <c r="R251" s="173"/>
      <c r="S251" s="173"/>
      <c r="T251" s="173"/>
      <c r="U251" s="173"/>
      <c r="V251" s="173"/>
      <c r="W251" s="173"/>
      <c r="X251" s="173"/>
      <c r="Y251" s="173"/>
      <c r="Z251" s="173"/>
      <c r="AA251" s="173"/>
      <c r="AB251" s="173"/>
      <c r="AC251" s="173"/>
      <c r="AD251" s="173"/>
    </row>
    <row r="252" spans="17:30">
      <c r="Q252" s="173"/>
      <c r="R252" s="173"/>
      <c r="S252" s="173"/>
      <c r="T252" s="173"/>
      <c r="U252" s="173"/>
      <c r="V252" s="173"/>
      <c r="W252" s="173"/>
      <c r="X252" s="173"/>
      <c r="Y252" s="173"/>
      <c r="Z252" s="173"/>
      <c r="AA252" s="173"/>
      <c r="AB252" s="173"/>
      <c r="AC252" s="173"/>
      <c r="AD252" s="173"/>
    </row>
    <row r="253" spans="17:30">
      <c r="Q253" s="173"/>
      <c r="R253" s="173"/>
      <c r="S253" s="173"/>
      <c r="T253" s="173"/>
      <c r="U253" s="173"/>
      <c r="V253" s="173"/>
      <c r="W253" s="173"/>
      <c r="X253" s="173"/>
      <c r="Y253" s="173"/>
      <c r="Z253" s="173"/>
      <c r="AA253" s="173"/>
      <c r="AB253" s="173"/>
      <c r="AC253" s="173"/>
      <c r="AD253" s="173"/>
    </row>
    <row r="254" spans="17:30">
      <c r="Q254" s="286"/>
      <c r="R254" s="286"/>
      <c r="S254" s="286"/>
      <c r="T254" s="286"/>
      <c r="U254" s="286"/>
      <c r="V254" s="286"/>
      <c r="W254" s="286"/>
      <c r="X254" s="286"/>
      <c r="Y254" s="286"/>
      <c r="Z254" s="286"/>
      <c r="AA254" s="286"/>
      <c r="AB254" s="286"/>
      <c r="AC254" s="286"/>
      <c r="AD254" s="286"/>
    </row>
    <row r="255" spans="17:30">
      <c r="Q255" s="286"/>
      <c r="R255" s="286"/>
      <c r="S255" s="286"/>
      <c r="T255" s="286"/>
      <c r="U255" s="286"/>
      <c r="V255" s="286"/>
      <c r="W255" s="286"/>
      <c r="X255" s="286"/>
      <c r="Y255" s="286"/>
      <c r="Z255" s="286"/>
      <c r="AA255" s="286"/>
      <c r="AB255" s="286"/>
      <c r="AC255" s="286"/>
      <c r="AD255" s="286"/>
    </row>
    <row r="256" spans="17:30">
      <c r="Q256" s="286"/>
      <c r="R256" s="286"/>
      <c r="S256" s="286"/>
      <c r="T256" s="286"/>
      <c r="U256" s="286"/>
      <c r="V256" s="286"/>
      <c r="W256" s="286"/>
      <c r="X256" s="286"/>
      <c r="Y256" s="286"/>
      <c r="Z256" s="286"/>
      <c r="AA256" s="286"/>
      <c r="AB256" s="286"/>
      <c r="AC256" s="286"/>
      <c r="AD256" s="286"/>
    </row>
    <row r="257" spans="17:30">
      <c r="Q257" s="173"/>
      <c r="R257" s="173"/>
      <c r="S257" s="173"/>
      <c r="T257" s="173"/>
      <c r="U257" s="173"/>
      <c r="V257" s="173"/>
      <c r="W257" s="173"/>
      <c r="X257" s="173"/>
      <c r="Y257" s="173"/>
      <c r="Z257" s="173"/>
      <c r="AA257" s="173"/>
      <c r="AB257" s="173"/>
      <c r="AC257" s="173"/>
      <c r="AD257" s="173"/>
    </row>
    <row r="258" spans="17:30">
      <c r="Q258" s="173"/>
      <c r="R258" s="173"/>
      <c r="S258" s="173"/>
      <c r="T258" s="173"/>
      <c r="U258" s="173"/>
      <c r="V258" s="173"/>
      <c r="W258" s="173"/>
      <c r="X258" s="173"/>
      <c r="Y258" s="173"/>
      <c r="Z258" s="173"/>
      <c r="AA258" s="173"/>
      <c r="AB258" s="173"/>
      <c r="AC258" s="173"/>
      <c r="AD258" s="173"/>
    </row>
    <row r="259" spans="17:30">
      <c r="Q259" s="173"/>
      <c r="R259" s="173"/>
      <c r="S259" s="173"/>
      <c r="T259" s="173"/>
      <c r="U259" s="173"/>
      <c r="V259" s="173"/>
      <c r="W259" s="173"/>
      <c r="X259" s="173"/>
      <c r="Y259" s="173"/>
      <c r="Z259" s="173"/>
      <c r="AA259" s="173"/>
      <c r="AB259" s="173"/>
      <c r="AC259" s="173"/>
      <c r="AD259" s="173"/>
    </row>
    <row r="260" spans="17:30">
      <c r="Q260" s="173"/>
      <c r="R260" s="173"/>
      <c r="S260" s="173"/>
      <c r="T260" s="173"/>
      <c r="U260" s="173"/>
      <c r="V260" s="173"/>
      <c r="W260" s="173"/>
      <c r="X260" s="173"/>
      <c r="Y260" s="173"/>
      <c r="Z260" s="173"/>
      <c r="AA260" s="173"/>
      <c r="AB260" s="173"/>
      <c r="AC260" s="173"/>
      <c r="AD260" s="173"/>
    </row>
    <row r="261" spans="17:30">
      <c r="Q261" s="286"/>
      <c r="R261" s="286"/>
      <c r="S261" s="286"/>
      <c r="T261" s="286"/>
      <c r="U261" s="286"/>
      <c r="V261" s="286"/>
      <c r="W261" s="286"/>
      <c r="X261" s="286"/>
      <c r="Y261" s="286"/>
      <c r="Z261" s="286"/>
      <c r="AA261" s="286"/>
      <c r="AB261" s="286"/>
      <c r="AC261" s="286"/>
      <c r="AD261" s="286"/>
    </row>
    <row r="262" spans="17:30">
      <c r="Q262" s="173"/>
      <c r="R262" s="173"/>
      <c r="S262" s="173"/>
      <c r="T262" s="173"/>
      <c r="U262" s="173"/>
      <c r="V262" s="173"/>
      <c r="W262" s="173"/>
      <c r="X262" s="173"/>
      <c r="Y262" s="173"/>
      <c r="Z262" s="173"/>
      <c r="AA262" s="173"/>
      <c r="AB262" s="173"/>
      <c r="AC262" s="173"/>
      <c r="AD262" s="173"/>
    </row>
    <row r="263" spans="17:30">
      <c r="Q263" s="173"/>
      <c r="R263" s="173"/>
      <c r="S263" s="173"/>
      <c r="T263" s="173"/>
      <c r="U263" s="173"/>
      <c r="V263" s="173"/>
      <c r="W263" s="173"/>
      <c r="X263" s="173"/>
      <c r="Y263" s="173"/>
      <c r="Z263" s="173"/>
      <c r="AA263" s="173"/>
      <c r="AB263" s="173"/>
      <c r="AC263" s="173"/>
      <c r="AD263" s="173"/>
    </row>
    <row r="264" spans="17:30">
      <c r="Q264" s="286"/>
      <c r="R264" s="286"/>
      <c r="S264" s="286"/>
      <c r="T264" s="286"/>
      <c r="U264" s="286"/>
      <c r="V264" s="286"/>
      <c r="W264" s="286"/>
      <c r="X264" s="286"/>
      <c r="Y264" s="286"/>
      <c r="Z264" s="286"/>
      <c r="AA264" s="286"/>
      <c r="AB264" s="286"/>
      <c r="AC264" s="286"/>
      <c r="AD264" s="286"/>
    </row>
  </sheetData>
  <sheetProtection formatCells="0" formatColumns="0" formatRows="0" insertColumns="0" insertRows="0" insertHyperlinks="0" deleteColumns="0" deleteRows="0" sort="0" autoFilter="0" pivotTables="0"/>
  <mergeCells count="6">
    <mergeCell ref="A229:AD229"/>
    <mergeCell ref="A228:AD228"/>
    <mergeCell ref="A227:AD227"/>
    <mergeCell ref="A225:AD225"/>
    <mergeCell ref="A224:AD224"/>
    <mergeCell ref="A226:AD226"/>
  </mergeCells>
  <pageMargins left="0.70866141732283472" right="0.70866141732283472" top="0.74803149606299213" bottom="0.74803149606299213" header="0.31496062992125984" footer="0.31496062992125984"/>
  <pageSetup paperSize="9" scale="57" fitToHeight="3" orientation="landscape" r:id="rId1"/>
  <rowBreaks count="3" manualBreakCount="3">
    <brk id="52" max="20" man="1"/>
    <brk id="120" max="20" man="1"/>
    <brk id="154" max="20"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Q46"/>
  <sheetViews>
    <sheetView zoomScaleNormal="100" workbookViewId="0">
      <pane ySplit="2" topLeftCell="A3" activePane="bottomLeft" state="frozen"/>
      <selection pane="bottomLeft" activeCell="B4" sqref="B4"/>
    </sheetView>
  </sheetViews>
  <sheetFormatPr defaultColWidth="9.140625" defaultRowHeight="15"/>
  <cols>
    <col min="1" max="1" width="35.7109375" style="18" customWidth="1"/>
    <col min="2" max="9" width="10.42578125" style="18" customWidth="1"/>
    <col min="10" max="10" width="9.85546875" style="18" bestFit="1" customWidth="1"/>
    <col min="11" max="11" width="10.85546875" style="18" bestFit="1" customWidth="1"/>
    <col min="12" max="12" width="10.42578125" style="18" customWidth="1"/>
    <col min="13" max="15" width="9.85546875" style="18" bestFit="1" customWidth="1"/>
    <col min="16" max="16" width="5.42578125" style="18" customWidth="1"/>
    <col min="17" max="17" width="15.28515625" style="18" customWidth="1"/>
    <col min="18" max="18" width="5.5703125" style="18" customWidth="1"/>
    <col min="19" max="16384" width="9.140625" style="18"/>
  </cols>
  <sheetData>
    <row r="1" spans="1:17">
      <c r="A1" s="16" t="s">
        <v>101</v>
      </c>
      <c r="B1" s="16"/>
      <c r="C1" s="16"/>
      <c r="D1" s="16"/>
      <c r="E1" s="16"/>
      <c r="F1" s="16"/>
      <c r="G1" s="16"/>
      <c r="H1" s="16"/>
      <c r="I1" s="16"/>
      <c r="J1" s="16"/>
      <c r="K1" s="16"/>
      <c r="L1" s="16"/>
      <c r="M1" s="16"/>
      <c r="N1" s="16"/>
      <c r="O1" s="16"/>
      <c r="P1" s="16"/>
      <c r="Q1" s="16"/>
    </row>
    <row r="2" spans="1:17" ht="24.75">
      <c r="A2" s="19" t="s">
        <v>33</v>
      </c>
      <c r="B2" s="115" t="s">
        <v>558</v>
      </c>
      <c r="C2" s="115" t="s">
        <v>502</v>
      </c>
      <c r="D2" s="115" t="s">
        <v>473</v>
      </c>
      <c r="E2" s="115" t="s">
        <v>533</v>
      </c>
      <c r="F2" s="115" t="s">
        <v>472</v>
      </c>
      <c r="G2" s="115" t="s">
        <v>471</v>
      </c>
      <c r="H2" s="115" t="s">
        <v>532</v>
      </c>
      <c r="I2" s="115" t="s">
        <v>531</v>
      </c>
      <c r="J2" s="87">
        <v>45444</v>
      </c>
      <c r="K2" s="87">
        <v>45352</v>
      </c>
      <c r="L2" s="87">
        <v>45261</v>
      </c>
      <c r="M2" s="87">
        <v>45170</v>
      </c>
      <c r="N2" s="87">
        <v>45078</v>
      </c>
      <c r="O2" s="87">
        <v>44986</v>
      </c>
      <c r="P2" s="87"/>
      <c r="Q2" s="88" t="s">
        <v>559</v>
      </c>
    </row>
    <row r="3" spans="1:17">
      <c r="A3" s="89" t="s">
        <v>534</v>
      </c>
      <c r="B3" s="89"/>
      <c r="C3" s="89"/>
      <c r="D3" s="89"/>
      <c r="E3" s="89"/>
      <c r="F3" s="89"/>
      <c r="G3" s="89"/>
      <c r="H3" s="89"/>
      <c r="I3" s="89"/>
      <c r="J3" s="89"/>
      <c r="K3" s="89"/>
      <c r="L3" s="89"/>
      <c r="M3" s="89"/>
      <c r="N3" s="89"/>
      <c r="O3" s="89"/>
      <c r="P3" s="22"/>
      <c r="Q3" s="22"/>
    </row>
    <row r="4" spans="1:17">
      <c r="A4" s="90" t="s">
        <v>102</v>
      </c>
      <c r="B4" s="176">
        <v>11490.611000000001</v>
      </c>
      <c r="C4" s="26">
        <v>11187.968999999999</v>
      </c>
      <c r="D4" s="26">
        <v>10955.397000000001</v>
      </c>
      <c r="E4" s="26">
        <v>10801.358</v>
      </c>
      <c r="F4" s="26">
        <v>10740.591</v>
      </c>
      <c r="G4" s="26">
        <v>10543.093999999999</v>
      </c>
      <c r="H4" s="26">
        <v>10261.079</v>
      </c>
      <c r="I4" s="26">
        <v>10188.867</v>
      </c>
      <c r="J4" s="26">
        <v>10317.200000000001</v>
      </c>
      <c r="K4" s="26">
        <v>10275.995999999999</v>
      </c>
      <c r="L4" s="26">
        <v>10069.135</v>
      </c>
      <c r="M4" s="26">
        <v>10166.331</v>
      </c>
      <c r="N4" s="26">
        <v>10276.734</v>
      </c>
      <c r="O4" s="26">
        <v>10277.044</v>
      </c>
      <c r="P4" s="91"/>
      <c r="Q4" s="163">
        <v>2.7050664870451612E-2</v>
      </c>
    </row>
    <row r="5" spans="1:17">
      <c r="A5" s="90" t="s">
        <v>103</v>
      </c>
      <c r="B5" s="176">
        <v>0</v>
      </c>
      <c r="C5" s="26">
        <v>0</v>
      </c>
      <c r="D5" s="26">
        <v>0</v>
      </c>
      <c r="E5" s="26">
        <v>0</v>
      </c>
      <c r="F5" s="26">
        <v>0.192</v>
      </c>
      <c r="G5" s="26">
        <v>0.31</v>
      </c>
      <c r="H5" s="26">
        <v>0.33400000000000002</v>
      </c>
      <c r="I5" s="26">
        <v>0.32900000000000001</v>
      </c>
      <c r="J5" s="26">
        <v>0.35099999999999998</v>
      </c>
      <c r="K5" s="26">
        <v>0.35199999999999998</v>
      </c>
      <c r="L5" s="26">
        <v>0.69299999999999995</v>
      </c>
      <c r="M5" s="26">
        <v>0.69099999999999995</v>
      </c>
      <c r="N5" s="26">
        <v>0.72399999999999998</v>
      </c>
      <c r="O5" s="26">
        <v>0.78</v>
      </c>
      <c r="P5" s="91"/>
      <c r="Q5" s="163" t="e">
        <v>#DIV/0!</v>
      </c>
    </row>
    <row r="6" spans="1:17" ht="15.75" thickBot="1">
      <c r="A6" s="92" t="s">
        <v>104</v>
      </c>
      <c r="B6" s="177">
        <v>11490.611000000001</v>
      </c>
      <c r="C6" s="205">
        <v>11187.968999999999</v>
      </c>
      <c r="D6" s="205">
        <v>10955.397000000001</v>
      </c>
      <c r="E6" s="205">
        <v>10801.358</v>
      </c>
      <c r="F6" s="205">
        <v>10740.782999999999</v>
      </c>
      <c r="G6" s="205">
        <v>10543.403999999999</v>
      </c>
      <c r="H6" s="205">
        <v>10261.413</v>
      </c>
      <c r="I6" s="205">
        <v>10189.196</v>
      </c>
      <c r="J6" s="205">
        <v>10317.550999999999</v>
      </c>
      <c r="K6" s="205">
        <v>10276.348</v>
      </c>
      <c r="L6" s="205">
        <v>10069.828</v>
      </c>
      <c r="M6" s="205">
        <v>10167.022000000001</v>
      </c>
      <c r="N6" s="205">
        <v>10277.458000000001</v>
      </c>
      <c r="O6" s="205">
        <v>10277.824000000001</v>
      </c>
      <c r="P6" s="91"/>
      <c r="Q6" s="164">
        <v>2.7050664870451612E-2</v>
      </c>
    </row>
    <row r="7" spans="1:17" ht="15.75" thickTop="1">
      <c r="A7" s="91"/>
      <c r="B7" s="311"/>
      <c r="C7" s="311"/>
      <c r="D7" s="311"/>
      <c r="E7" s="311"/>
      <c r="F7" s="26"/>
      <c r="G7" s="311"/>
      <c r="H7" s="26"/>
      <c r="I7" s="26"/>
      <c r="J7" s="26"/>
      <c r="K7" s="26"/>
      <c r="L7" s="26"/>
      <c r="M7" s="26"/>
      <c r="N7" s="26"/>
      <c r="O7" s="26"/>
      <c r="P7" s="91"/>
      <c r="Q7" s="165"/>
    </row>
    <row r="8" spans="1:17">
      <c r="A8" s="21" t="s">
        <v>535</v>
      </c>
      <c r="B8" s="311"/>
      <c r="C8" s="311"/>
      <c r="D8" s="311"/>
      <c r="E8" s="311"/>
      <c r="F8" s="26"/>
      <c r="G8" s="311"/>
      <c r="H8" s="26"/>
      <c r="I8" s="26"/>
      <c r="J8" s="26"/>
      <c r="K8" s="26"/>
      <c r="L8" s="26"/>
      <c r="M8" s="26"/>
      <c r="N8" s="26"/>
      <c r="O8" s="26"/>
      <c r="P8" s="91"/>
      <c r="Q8" s="165"/>
    </row>
    <row r="9" spans="1:17">
      <c r="A9" s="90" t="s">
        <v>102</v>
      </c>
      <c r="B9" s="176">
        <v>9917.3220000000001</v>
      </c>
      <c r="C9" s="26">
        <v>9713.5190000000002</v>
      </c>
      <c r="D9" s="26">
        <v>9613.107</v>
      </c>
      <c r="E9" s="26">
        <v>9602.7822558200005</v>
      </c>
      <c r="F9" s="26">
        <v>9614.1270000000004</v>
      </c>
      <c r="G9" s="26">
        <v>9508.6380000000008</v>
      </c>
      <c r="H9" s="26">
        <v>9294.2240000000002</v>
      </c>
      <c r="I9" s="26">
        <v>9358.9570000000003</v>
      </c>
      <c r="J9" s="26">
        <v>9491.3389999999999</v>
      </c>
      <c r="K9" s="26">
        <v>9479.0560000000005</v>
      </c>
      <c r="L9" s="26">
        <v>9264.8289999999997</v>
      </c>
      <c r="M9" s="26"/>
      <c r="N9" s="26"/>
      <c r="O9" s="26"/>
      <c r="P9" s="91"/>
      <c r="Q9" s="163">
        <v>2.098137657423637E-2</v>
      </c>
    </row>
    <row r="10" spans="1:17">
      <c r="A10" s="91" t="s">
        <v>355</v>
      </c>
      <c r="B10" s="176">
        <v>558.053</v>
      </c>
      <c r="C10" s="26">
        <v>538.47199999999998</v>
      </c>
      <c r="D10" s="26">
        <v>527.06500000000005</v>
      </c>
      <c r="E10" s="26">
        <v>468.21499999999997</v>
      </c>
      <c r="F10" s="26">
        <v>475.57600000000002</v>
      </c>
      <c r="G10" s="26">
        <v>413.35300000000001</v>
      </c>
      <c r="H10" s="26">
        <v>317.05099999999999</v>
      </c>
      <c r="I10" s="26">
        <v>253.928</v>
      </c>
      <c r="J10" s="26">
        <v>228.679</v>
      </c>
      <c r="K10" s="26">
        <v>214.19200000000001</v>
      </c>
      <c r="L10" s="26">
        <v>200.88200000000001</v>
      </c>
      <c r="M10" s="26"/>
      <c r="N10" s="26"/>
      <c r="O10" s="26"/>
      <c r="P10" s="91"/>
      <c r="Q10" s="163">
        <v>3.6364007784991638E-2</v>
      </c>
    </row>
    <row r="11" spans="1:17">
      <c r="A11" s="91" t="s">
        <v>88</v>
      </c>
      <c r="B11" s="176">
        <v>109.501</v>
      </c>
      <c r="C11" s="26">
        <v>109.76600000000001</v>
      </c>
      <c r="D11" s="26">
        <v>107.934</v>
      </c>
      <c r="E11" s="26">
        <v>108.17</v>
      </c>
      <c r="F11" s="26">
        <v>114.15300000000001</v>
      </c>
      <c r="G11" s="26">
        <v>77.350999999999999</v>
      </c>
      <c r="H11" s="26">
        <v>78.234999999999999</v>
      </c>
      <c r="I11" s="26">
        <v>84.623000000000005</v>
      </c>
      <c r="J11" s="26">
        <v>85.054000000000002</v>
      </c>
      <c r="K11" s="26">
        <v>96.510999999999996</v>
      </c>
      <c r="L11" s="26">
        <v>98.933999999999997</v>
      </c>
      <c r="M11" s="26"/>
      <c r="N11" s="26"/>
      <c r="O11" s="26"/>
      <c r="P11" s="91"/>
      <c r="Q11" s="163">
        <v>-2.4142266275531637E-3</v>
      </c>
    </row>
    <row r="12" spans="1:17">
      <c r="A12" s="91" t="s">
        <v>506</v>
      </c>
      <c r="B12" s="176">
        <v>275.67700000000002</v>
      </c>
      <c r="C12" s="26">
        <v>255.08199999999999</v>
      </c>
      <c r="D12" s="26">
        <v>181.35599999999999</v>
      </c>
      <c r="E12" s="26">
        <v>185.929</v>
      </c>
      <c r="F12" s="26">
        <v>156.107</v>
      </c>
      <c r="G12" s="26">
        <v>110.145</v>
      </c>
      <c r="H12" s="26">
        <v>84.637</v>
      </c>
      <c r="I12" s="26">
        <v>74.164000000000001</v>
      </c>
      <c r="J12" s="26">
        <v>69.078999999999994</v>
      </c>
      <c r="K12" s="26">
        <v>54.037999999999997</v>
      </c>
      <c r="L12" s="26">
        <v>37.729999999999997</v>
      </c>
      <c r="M12" s="26"/>
      <c r="N12" s="26"/>
      <c r="O12" s="26"/>
      <c r="P12" s="91"/>
      <c r="Q12" s="163"/>
    </row>
    <row r="13" spans="1:17">
      <c r="A13" s="91" t="s">
        <v>182</v>
      </c>
      <c r="B13" s="176">
        <v>3.6070000000000002</v>
      </c>
      <c r="C13" s="26">
        <v>3.8540000000000001</v>
      </c>
      <c r="D13" s="26">
        <v>3.903</v>
      </c>
      <c r="E13" s="26">
        <v>4.3230000000000004</v>
      </c>
      <c r="F13" s="26">
        <v>6.298</v>
      </c>
      <c r="G13" s="26">
        <v>7.3419999999999996</v>
      </c>
      <c r="H13" s="26">
        <v>7.5449999999999999</v>
      </c>
      <c r="I13" s="26">
        <v>9.6580000000000013</v>
      </c>
      <c r="J13" s="26">
        <v>10.832000000000001</v>
      </c>
      <c r="K13" s="26">
        <v>11.773</v>
      </c>
      <c r="L13" s="26">
        <v>12.319000000000001</v>
      </c>
      <c r="M13" s="26"/>
      <c r="N13" s="26"/>
      <c r="O13" s="26"/>
      <c r="P13" s="91"/>
      <c r="Q13" s="163">
        <v>-6.408925791385571E-2</v>
      </c>
    </row>
    <row r="14" spans="1:17">
      <c r="A14" s="91" t="s">
        <v>361</v>
      </c>
      <c r="B14" s="176">
        <v>626.45100000000002</v>
      </c>
      <c r="C14" s="26">
        <v>567.27600000000007</v>
      </c>
      <c r="D14" s="26">
        <v>522.03200000000004</v>
      </c>
      <c r="E14" s="26">
        <v>431.93900000000008</v>
      </c>
      <c r="F14" s="26">
        <v>374.33100000000002</v>
      </c>
      <c r="G14" s="26">
        <v>426.57500000000005</v>
      </c>
      <c r="H14" s="26">
        <v>479.72099999999995</v>
      </c>
      <c r="I14" s="26">
        <v>407.86600000000004</v>
      </c>
      <c r="J14" s="26">
        <v>432.56799999999998</v>
      </c>
      <c r="K14" s="26">
        <v>420.77799999999996</v>
      </c>
      <c r="L14" s="26">
        <v>455.13399999999996</v>
      </c>
      <c r="M14" s="26"/>
      <c r="N14" s="26"/>
      <c r="O14" s="26"/>
      <c r="P14" s="91"/>
      <c r="Q14" s="163">
        <v>0.1043143020328728</v>
      </c>
    </row>
    <row r="15" spans="1:17" ht="15.75" thickBot="1">
      <c r="A15" s="19" t="s">
        <v>108</v>
      </c>
      <c r="B15" s="177">
        <v>11490.611000000001</v>
      </c>
      <c r="C15" s="205">
        <v>11187.968999999999</v>
      </c>
      <c r="D15" s="205">
        <v>10955.397000000001</v>
      </c>
      <c r="E15" s="205">
        <v>10801.358255820001</v>
      </c>
      <c r="F15" s="205">
        <v>10740.592000000001</v>
      </c>
      <c r="G15" s="205">
        <v>10543.404</v>
      </c>
      <c r="H15" s="205">
        <v>10261.413</v>
      </c>
      <c r="I15" s="205">
        <v>10189.196</v>
      </c>
      <c r="J15" s="205">
        <v>10317.551000000001</v>
      </c>
      <c r="K15" s="205">
        <v>10276.348</v>
      </c>
      <c r="L15" s="205">
        <v>10069.827999999998</v>
      </c>
      <c r="M15" s="26"/>
      <c r="N15" s="26"/>
      <c r="O15" s="26"/>
      <c r="P15" s="91"/>
      <c r="Q15" s="164">
        <v>2.7050664870451612E-2</v>
      </c>
    </row>
    <row r="16" spans="1:17" ht="15.75" thickTop="1">
      <c r="A16" s="91"/>
      <c r="B16" s="26"/>
      <c r="C16" s="26"/>
      <c r="D16" s="26"/>
      <c r="E16" s="26"/>
      <c r="F16" s="26"/>
      <c r="G16" s="26"/>
      <c r="H16" s="26"/>
      <c r="I16" s="26"/>
      <c r="J16" s="26"/>
      <c r="K16" s="26"/>
      <c r="L16" s="26"/>
      <c r="M16" s="26"/>
      <c r="N16" s="26"/>
      <c r="O16" s="26"/>
      <c r="P16" s="91"/>
      <c r="Q16" s="165"/>
    </row>
    <row r="17" spans="1:17">
      <c r="A17" s="21" t="s">
        <v>536</v>
      </c>
      <c r="B17" s="236"/>
      <c r="C17" s="236"/>
      <c r="D17" s="236"/>
      <c r="E17" s="236"/>
      <c r="F17" s="236"/>
      <c r="G17" s="236"/>
      <c r="H17" s="236"/>
      <c r="I17" s="236"/>
      <c r="J17" s="236"/>
      <c r="K17" s="236"/>
      <c r="L17" s="236"/>
      <c r="M17" s="236"/>
      <c r="N17" s="236"/>
      <c r="O17" s="236"/>
      <c r="P17" s="21"/>
      <c r="Q17" s="148"/>
    </row>
    <row r="18" spans="1:17">
      <c r="A18" s="38" t="s">
        <v>362</v>
      </c>
      <c r="B18" s="176">
        <v>3949.2449999999999</v>
      </c>
      <c r="C18" s="26">
        <v>3839</v>
      </c>
      <c r="D18" s="26">
        <v>3738.8940000000002</v>
      </c>
      <c r="E18" s="26">
        <v>3833.4410000000003</v>
      </c>
      <c r="F18" s="26">
        <v>3854.2260000000001</v>
      </c>
      <c r="G18" s="26">
        <v>3790.069</v>
      </c>
      <c r="H18" s="26">
        <v>3620.538</v>
      </c>
      <c r="I18" s="26">
        <v>3689.1849999999999</v>
      </c>
      <c r="J18" s="26">
        <v>3825.3180000000002</v>
      </c>
      <c r="K18" s="26">
        <v>3865.9210000000003</v>
      </c>
      <c r="L18" s="26">
        <v>3746.5600000000004</v>
      </c>
      <c r="M18" s="26">
        <v>3848.9769999999999</v>
      </c>
      <c r="N18" s="26">
        <v>3968.2599999999998</v>
      </c>
      <c r="O18" s="26">
        <v>3980.8850000000002</v>
      </c>
      <c r="P18" s="91"/>
      <c r="Q18" s="163">
        <v>2.8717113831726985E-2</v>
      </c>
    </row>
    <row r="19" spans="1:17">
      <c r="A19" s="38" t="s">
        <v>297</v>
      </c>
      <c r="B19" s="176">
        <v>1528.4059999999999</v>
      </c>
      <c r="C19" s="26">
        <v>1426.46</v>
      </c>
      <c r="D19" s="26">
        <v>1355.5340000000001</v>
      </c>
      <c r="E19" s="26">
        <v>1186.33</v>
      </c>
      <c r="F19" s="26">
        <v>1112.1099999999999</v>
      </c>
      <c r="G19" s="26">
        <v>1035.9939999999999</v>
      </c>
      <c r="H19" s="26">
        <v>961.02</v>
      </c>
      <c r="I19" s="26">
        <v>824.81500000000005</v>
      </c>
      <c r="J19" s="26">
        <v>820.63300000000004</v>
      </c>
      <c r="K19" s="26">
        <v>773.26900000000001</v>
      </c>
      <c r="L19" s="26">
        <v>762.59699999999998</v>
      </c>
      <c r="M19" s="26">
        <v>743.49400000000003</v>
      </c>
      <c r="N19" s="26">
        <v>694.78599999999994</v>
      </c>
      <c r="O19" s="26">
        <v>667.87</v>
      </c>
      <c r="P19" s="91"/>
      <c r="Q19" s="163">
        <v>7.1467829451929893E-2</v>
      </c>
    </row>
    <row r="20" spans="1:17">
      <c r="A20" s="38" t="s">
        <v>9</v>
      </c>
      <c r="B20" s="176">
        <v>1009.5309999999999</v>
      </c>
      <c r="C20" s="26">
        <v>1013.782</v>
      </c>
      <c r="D20" s="26">
        <v>1005.544</v>
      </c>
      <c r="E20" s="26">
        <v>995.32499999999993</v>
      </c>
      <c r="F20" s="26">
        <v>1011.052</v>
      </c>
      <c r="G20" s="26">
        <v>1015.876</v>
      </c>
      <c r="H20" s="26">
        <v>998.28099999999995</v>
      </c>
      <c r="I20" s="26">
        <v>994.42499999999995</v>
      </c>
      <c r="J20" s="26">
        <v>1020.4450000000001</v>
      </c>
      <c r="K20" s="26">
        <v>1023.688</v>
      </c>
      <c r="L20" s="26">
        <v>1010.148</v>
      </c>
      <c r="M20" s="26">
        <v>1030.8510000000001</v>
      </c>
      <c r="N20" s="26">
        <v>1066.778</v>
      </c>
      <c r="O20" s="26">
        <v>1095.7270000000001</v>
      </c>
      <c r="P20" s="91"/>
      <c r="Q20" s="163">
        <v>-4.1932091909306834E-3</v>
      </c>
    </row>
    <row r="21" spans="1:17">
      <c r="A21" s="38" t="s">
        <v>106</v>
      </c>
      <c r="B21" s="176">
        <v>3846.5590000000002</v>
      </c>
      <c r="C21" s="26">
        <v>3780.203</v>
      </c>
      <c r="D21" s="26">
        <v>3740.4960000000001</v>
      </c>
      <c r="E21" s="26">
        <v>3677.6010000000001</v>
      </c>
      <c r="F21" s="26">
        <v>3662.25</v>
      </c>
      <c r="G21" s="26">
        <v>3620.6460000000002</v>
      </c>
      <c r="H21" s="26">
        <v>3606.585</v>
      </c>
      <c r="I21" s="26">
        <v>3600.9839999999999</v>
      </c>
      <c r="J21" s="26">
        <v>3596.8760000000002</v>
      </c>
      <c r="K21" s="26">
        <v>3575.549</v>
      </c>
      <c r="L21" s="26">
        <v>3556.172</v>
      </c>
      <c r="M21" s="26">
        <v>3547.4920000000002</v>
      </c>
      <c r="N21" s="26">
        <v>3563.2429999999999</v>
      </c>
      <c r="O21" s="26">
        <v>3559.431</v>
      </c>
      <c r="P21" s="91"/>
      <c r="Q21" s="163">
        <v>1.7553554663598814E-2</v>
      </c>
    </row>
    <row r="22" spans="1:17">
      <c r="A22" s="38" t="s">
        <v>107</v>
      </c>
      <c r="B22" s="176">
        <v>1156.8699999999999</v>
      </c>
      <c r="C22" s="26">
        <v>1128.5239999999999</v>
      </c>
      <c r="D22" s="26">
        <v>1114.9290000000001</v>
      </c>
      <c r="E22" s="26">
        <v>1108.6609999999998</v>
      </c>
      <c r="F22" s="26">
        <v>1101.145</v>
      </c>
      <c r="G22" s="26">
        <v>1080.819</v>
      </c>
      <c r="H22" s="26">
        <v>1074.989</v>
      </c>
      <c r="I22" s="26">
        <v>1079.787</v>
      </c>
      <c r="J22" s="26">
        <v>1054.279</v>
      </c>
      <c r="K22" s="26">
        <v>1037.921</v>
      </c>
      <c r="L22" s="26">
        <v>994.351</v>
      </c>
      <c r="M22" s="26">
        <v>996.20799999999997</v>
      </c>
      <c r="N22" s="26">
        <v>984.39099999999996</v>
      </c>
      <c r="O22" s="26">
        <v>973.91099999999994</v>
      </c>
      <c r="P22" s="91"/>
      <c r="Q22" s="163">
        <v>2.5117764442758865E-2</v>
      </c>
    </row>
    <row r="23" spans="1:17" ht="15.75" thickBot="1">
      <c r="A23" s="19" t="s">
        <v>108</v>
      </c>
      <c r="B23" s="177">
        <v>11490.611000000001</v>
      </c>
      <c r="C23" s="205">
        <v>11187.968999999999</v>
      </c>
      <c r="D23" s="205">
        <v>10955.397000000001</v>
      </c>
      <c r="E23" s="205">
        <v>10801.358</v>
      </c>
      <c r="F23" s="205">
        <v>10740.782999999999</v>
      </c>
      <c r="G23" s="205">
        <v>10543.404</v>
      </c>
      <c r="H23" s="205">
        <v>10261.412999999999</v>
      </c>
      <c r="I23" s="205">
        <v>10189.196</v>
      </c>
      <c r="J23" s="205">
        <v>10317.550999999999</v>
      </c>
      <c r="K23" s="205">
        <v>10276.348</v>
      </c>
      <c r="L23" s="205">
        <v>10069.828</v>
      </c>
      <c r="M23" s="205">
        <v>10167.022000000001</v>
      </c>
      <c r="N23" s="205">
        <v>10277.458000000001</v>
      </c>
      <c r="O23" s="205">
        <v>10277.824000000001</v>
      </c>
      <c r="P23" s="91"/>
      <c r="Q23" s="164">
        <v>2.7050664870451612E-2</v>
      </c>
    </row>
    <row r="24" spans="1:17" ht="15.75" thickTop="1">
      <c r="A24" s="91"/>
      <c r="B24" s="93"/>
      <c r="C24" s="93"/>
      <c r="D24" s="93"/>
      <c r="E24" s="93"/>
      <c r="F24" s="93"/>
      <c r="G24" s="93"/>
      <c r="H24" s="93"/>
      <c r="I24" s="93"/>
      <c r="J24" s="93"/>
      <c r="K24" s="93"/>
      <c r="L24" s="93"/>
      <c r="M24" s="93"/>
      <c r="N24" s="93"/>
      <c r="O24" s="93"/>
      <c r="P24" s="91"/>
      <c r="Q24" s="165"/>
    </row>
    <row r="25" spans="1:17">
      <c r="A25" s="21" t="s">
        <v>551</v>
      </c>
      <c r="B25" s="236"/>
      <c r="C25" s="236"/>
      <c r="D25" s="236"/>
      <c r="E25" s="236"/>
      <c r="F25" s="236"/>
      <c r="G25" s="236"/>
      <c r="H25" s="236"/>
      <c r="I25" s="236"/>
      <c r="J25" s="236"/>
      <c r="K25" s="236"/>
      <c r="L25" s="236"/>
      <c r="M25" s="236"/>
      <c r="N25" s="236"/>
      <c r="O25" s="236"/>
      <c r="P25" s="21"/>
      <c r="Q25" s="148"/>
    </row>
    <row r="26" spans="1:17">
      <c r="A26" s="38" t="s">
        <v>233</v>
      </c>
      <c r="B26" s="176">
        <v>10601.259</v>
      </c>
      <c r="C26" s="26">
        <v>10252.217000000001</v>
      </c>
      <c r="D26" s="26">
        <v>10024.362999999999</v>
      </c>
      <c r="E26" s="26">
        <v>9776.5030000000006</v>
      </c>
      <c r="F26" s="26">
        <v>9646.7549999999992</v>
      </c>
      <c r="G26" s="26">
        <v>9406.8119999999999</v>
      </c>
      <c r="H26" s="26">
        <v>9126.4950000000008</v>
      </c>
      <c r="I26" s="26">
        <v>8900.893</v>
      </c>
      <c r="J26" s="26">
        <v>8927.6720000000005</v>
      </c>
      <c r="K26" s="26">
        <v>8620.866</v>
      </c>
      <c r="L26" s="26">
        <v>8334.93</v>
      </c>
      <c r="M26" s="26">
        <v>8140.69</v>
      </c>
      <c r="N26" s="26">
        <v>8262.2170000000006</v>
      </c>
      <c r="O26" s="26">
        <v>8034.6859999999997</v>
      </c>
      <c r="P26" s="91"/>
      <c r="Q26" s="163">
        <v>3.4045514253160991E-2</v>
      </c>
    </row>
    <row r="27" spans="1:17">
      <c r="A27" s="38" t="s">
        <v>236</v>
      </c>
      <c r="B27" s="176">
        <v>771.07099999999991</v>
      </c>
      <c r="C27" s="26">
        <v>814.35500000000002</v>
      </c>
      <c r="D27" s="26">
        <v>804.26599999999996</v>
      </c>
      <c r="E27" s="26">
        <v>770.97499999999991</v>
      </c>
      <c r="F27" s="26">
        <v>782.255</v>
      </c>
      <c r="G27" s="26">
        <v>822.82999999999993</v>
      </c>
      <c r="H27" s="26">
        <v>801.82</v>
      </c>
      <c r="I27" s="26">
        <v>908.84299999999996</v>
      </c>
      <c r="J27" s="26">
        <v>962.95600000000002</v>
      </c>
      <c r="K27" s="26">
        <v>1174.4290000000001</v>
      </c>
      <c r="L27" s="26">
        <v>1231.6689999999999</v>
      </c>
      <c r="M27" s="26">
        <v>1465.4109999999998</v>
      </c>
      <c r="N27" s="26">
        <v>1437.5550000000001</v>
      </c>
      <c r="O27" s="26">
        <v>1645.693</v>
      </c>
      <c r="P27" s="91"/>
      <c r="Q27" s="163">
        <v>-5.3151266953601443E-2</v>
      </c>
    </row>
    <row r="28" spans="1:17">
      <c r="A28" s="38" t="s">
        <v>234</v>
      </c>
      <c r="B28" s="176">
        <v>118.28100000000001</v>
      </c>
      <c r="C28" s="26">
        <v>121.39699999999999</v>
      </c>
      <c r="D28" s="26">
        <v>126.768</v>
      </c>
      <c r="E28" s="26">
        <v>134.18600000000001</v>
      </c>
      <c r="F28" s="26">
        <v>188.51399999999998</v>
      </c>
      <c r="G28" s="26">
        <v>190.37899999999999</v>
      </c>
      <c r="H28" s="26">
        <v>202.09</v>
      </c>
      <c r="I28" s="26">
        <v>248.39599999999999</v>
      </c>
      <c r="J28" s="26">
        <v>293.57100000000003</v>
      </c>
      <c r="K28" s="26">
        <v>347.21800000000002</v>
      </c>
      <c r="L28" s="26">
        <v>365.44900000000001</v>
      </c>
      <c r="M28" s="26">
        <v>358.38600000000002</v>
      </c>
      <c r="N28" s="26">
        <v>370.56200000000001</v>
      </c>
      <c r="O28" s="26">
        <v>389.18599999999998</v>
      </c>
      <c r="P28" s="91"/>
      <c r="Q28" s="163">
        <v>-2.5667850111617138E-2</v>
      </c>
    </row>
    <row r="29" spans="1:17">
      <c r="A29" s="38" t="s">
        <v>237</v>
      </c>
      <c r="B29" s="176">
        <v>0</v>
      </c>
      <c r="C29" s="26">
        <v>0</v>
      </c>
      <c r="D29" s="26">
        <v>0</v>
      </c>
      <c r="E29" s="26">
        <v>119.694</v>
      </c>
      <c r="F29" s="26">
        <v>123.259</v>
      </c>
      <c r="G29" s="26">
        <v>123.383</v>
      </c>
      <c r="H29" s="26">
        <v>131.00800000000001</v>
      </c>
      <c r="I29" s="26">
        <v>131.06399999999999</v>
      </c>
      <c r="J29" s="26">
        <v>133.352</v>
      </c>
      <c r="K29" s="26">
        <v>133.83500000000001</v>
      </c>
      <c r="L29" s="26">
        <v>137.78</v>
      </c>
      <c r="M29" s="26">
        <v>202.535</v>
      </c>
      <c r="N29" s="26">
        <v>207.124</v>
      </c>
      <c r="O29" s="26">
        <v>208.25899999999999</v>
      </c>
      <c r="P29" s="91"/>
      <c r="Q29" s="163" t="e">
        <v>#DIV/0!</v>
      </c>
    </row>
    <row r="30" spans="1:17" ht="15.75" thickBot="1">
      <c r="A30" s="19" t="s">
        <v>108</v>
      </c>
      <c r="B30" s="177">
        <v>11490.611000000001</v>
      </c>
      <c r="C30" s="205">
        <v>11187.968999999999</v>
      </c>
      <c r="D30" s="205">
        <v>10955.397000000001</v>
      </c>
      <c r="E30" s="205">
        <v>10801.358</v>
      </c>
      <c r="F30" s="205">
        <v>10740.782999999999</v>
      </c>
      <c r="G30" s="205">
        <v>10543.404</v>
      </c>
      <c r="H30" s="205">
        <v>10261.412999999999</v>
      </c>
      <c r="I30" s="205">
        <v>10189.196</v>
      </c>
      <c r="J30" s="205">
        <v>10317.550999999999</v>
      </c>
      <c r="K30" s="205">
        <v>10276.348</v>
      </c>
      <c r="L30" s="205">
        <v>10069.828</v>
      </c>
      <c r="M30" s="205">
        <v>10167.022000000001</v>
      </c>
      <c r="N30" s="205">
        <v>10277.458000000001</v>
      </c>
      <c r="O30" s="205">
        <v>10277.824000000001</v>
      </c>
      <c r="P30" s="91"/>
      <c r="Q30" s="164">
        <v>2.7050664870451612E-2</v>
      </c>
    </row>
    <row r="31" spans="1:17" ht="15.75" thickTop="1">
      <c r="A31" s="91"/>
      <c r="B31" s="93"/>
      <c r="C31" s="93"/>
      <c r="D31" s="93"/>
      <c r="E31" s="93"/>
      <c r="F31" s="93"/>
      <c r="G31" s="93"/>
      <c r="H31" s="93"/>
      <c r="I31" s="93"/>
      <c r="J31" s="93"/>
      <c r="K31" s="93"/>
      <c r="L31" s="93"/>
      <c r="M31" s="93"/>
      <c r="N31" s="93"/>
      <c r="O31" s="93"/>
      <c r="P31" s="91"/>
      <c r="Q31" s="165"/>
    </row>
    <row r="32" spans="1:17">
      <c r="A32" s="21" t="s">
        <v>577</v>
      </c>
      <c r="B32" s="80"/>
      <c r="C32" s="80"/>
      <c r="D32" s="80"/>
      <c r="E32" s="80"/>
      <c r="F32" s="80"/>
      <c r="G32" s="80"/>
      <c r="H32" s="80"/>
      <c r="I32" s="80"/>
      <c r="J32" s="80"/>
      <c r="K32" s="80"/>
      <c r="L32" s="80"/>
      <c r="M32" s="80"/>
      <c r="N32" s="80"/>
      <c r="O32" s="80"/>
      <c r="P32" s="95"/>
      <c r="Q32" s="166"/>
    </row>
    <row r="33" spans="1:17">
      <c r="A33" s="38" t="s">
        <v>111</v>
      </c>
      <c r="B33" s="240">
        <v>-1.1587073036901378E-3</v>
      </c>
      <c r="C33" s="41">
        <v>-1.7020641447294974E-3</v>
      </c>
      <c r="D33" s="41">
        <v>3.2531771334041479E-3</v>
      </c>
      <c r="E33" s="41">
        <v>3.4851229205797316E-3</v>
      </c>
      <c r="F33" s="41">
        <v>3.5857038976273192E-3</v>
      </c>
      <c r="G33" s="41">
        <v>3.9355284802857944E-3</v>
      </c>
      <c r="H33" s="41">
        <v>2.9893690602433658E-3</v>
      </c>
      <c r="I33" s="41">
        <v>2.9301569393842515E-3</v>
      </c>
      <c r="J33" s="41">
        <v>3.0587218858109926E-3</v>
      </c>
      <c r="K33" s="41">
        <v>2.6621911097095799E-3</v>
      </c>
      <c r="L33" s="41">
        <v>6.1860057518582133E-3</v>
      </c>
      <c r="M33" s="41">
        <v>5.7809383338336537E-3</v>
      </c>
      <c r="N33" s="41">
        <v>4.8010478467913056E-3</v>
      </c>
      <c r="O33" s="41">
        <v>4.4353405740909417E-3</v>
      </c>
      <c r="Q33" s="271">
        <v>5.4335684103935951E-4</v>
      </c>
    </row>
    <row r="34" spans="1:17" ht="26.25" hidden="1">
      <c r="A34" s="168" t="s">
        <v>168</v>
      </c>
      <c r="B34" s="261"/>
      <c r="C34" s="261"/>
      <c r="D34" s="261"/>
      <c r="E34" s="261"/>
      <c r="F34" s="261"/>
      <c r="G34" s="261"/>
      <c r="H34" s="261"/>
      <c r="I34" s="261"/>
      <c r="J34" s="261"/>
      <c r="K34" s="261"/>
      <c r="L34" s="261"/>
      <c r="M34" s="261"/>
      <c r="N34" s="261"/>
      <c r="O34" s="261"/>
      <c r="Q34" s="129"/>
    </row>
    <row r="35" spans="1:17">
      <c r="A35" s="91"/>
      <c r="B35" s="91"/>
      <c r="C35" s="91"/>
      <c r="D35" s="91"/>
      <c r="E35" s="91"/>
      <c r="F35" s="91"/>
      <c r="G35" s="91"/>
      <c r="H35" s="91"/>
      <c r="I35" s="91"/>
      <c r="J35" s="91"/>
      <c r="K35" s="91"/>
      <c r="L35" s="91"/>
      <c r="M35" s="91"/>
      <c r="N35" s="91"/>
      <c r="O35" s="91"/>
    </row>
    <row r="36" spans="1:17">
      <c r="A36" s="21" t="s">
        <v>456</v>
      </c>
      <c r="B36" s="80"/>
      <c r="C36" s="80"/>
      <c r="D36" s="80"/>
      <c r="E36" s="80"/>
      <c r="F36" s="80"/>
      <c r="G36" s="80"/>
      <c r="H36" s="80"/>
      <c r="I36" s="80"/>
      <c r="J36" s="80"/>
      <c r="K36" s="80"/>
      <c r="L36" s="80"/>
      <c r="M36" s="80"/>
      <c r="N36" s="80"/>
      <c r="O36" s="80"/>
      <c r="P36" s="95"/>
      <c r="Q36" s="166"/>
    </row>
    <row r="37" spans="1:17">
      <c r="A37" s="18" t="s">
        <v>198</v>
      </c>
      <c r="B37" s="176">
        <v>-176.62200000000001</v>
      </c>
      <c r="C37" s="26">
        <v>-179.601</v>
      </c>
      <c r="D37" s="26">
        <v>-176.52500000000001</v>
      </c>
      <c r="E37" s="26">
        <v>-166.38200000000001</v>
      </c>
      <c r="F37" s="26">
        <v>-181.505</v>
      </c>
      <c r="G37" s="26">
        <v>-174.245</v>
      </c>
      <c r="H37" s="26">
        <v>-164.91200000000001</v>
      </c>
      <c r="I37" s="26">
        <v>-175.06</v>
      </c>
      <c r="J37" s="26">
        <v>-250.61</v>
      </c>
      <c r="K37" s="26">
        <v>-267.42</v>
      </c>
      <c r="L37" s="26">
        <v>-267.23200000000003</v>
      </c>
      <c r="M37" s="26">
        <v>-274.536</v>
      </c>
      <c r="N37" s="26">
        <v>-287.64499999999998</v>
      </c>
      <c r="O37" s="26">
        <v>-282.411</v>
      </c>
      <c r="P37" s="91"/>
      <c r="Q37" s="163">
        <v>-1.658676733425752E-2</v>
      </c>
    </row>
    <row r="40" spans="1:17" ht="21" customHeight="1">
      <c r="A40" s="289" t="s">
        <v>298</v>
      </c>
      <c r="B40" s="290"/>
      <c r="C40" s="290"/>
      <c r="D40" s="290"/>
      <c r="E40" s="290"/>
      <c r="F40" s="290"/>
      <c r="G40" s="290"/>
      <c r="H40" s="290"/>
      <c r="I40" s="290"/>
      <c r="J40" s="290"/>
      <c r="K40" s="290"/>
      <c r="L40" s="290"/>
      <c r="M40" s="290"/>
      <c r="N40" s="290"/>
      <c r="O40" s="290"/>
      <c r="P40" s="290"/>
      <c r="Q40" s="290"/>
    </row>
    <row r="41" spans="1:17" ht="27" customHeight="1">
      <c r="A41" s="323" t="s">
        <v>576</v>
      </c>
      <c r="B41" s="323"/>
      <c r="C41" s="323"/>
      <c r="D41" s="323"/>
      <c r="E41" s="323"/>
      <c r="F41" s="323"/>
      <c r="G41" s="323"/>
      <c r="H41" s="323"/>
      <c r="I41" s="323"/>
      <c r="J41" s="323"/>
      <c r="K41" s="323"/>
      <c r="L41" s="323"/>
      <c r="M41" s="323"/>
      <c r="N41" s="323"/>
      <c r="O41" s="323"/>
      <c r="P41" s="323"/>
      <c r="Q41" s="323"/>
    </row>
    <row r="42" spans="1:17" ht="25.5" customHeight="1">
      <c r="A42" s="323" t="s">
        <v>527</v>
      </c>
      <c r="B42" s="323"/>
      <c r="C42" s="323"/>
      <c r="D42" s="323"/>
      <c r="E42" s="323"/>
      <c r="F42" s="323"/>
      <c r="G42" s="323"/>
      <c r="H42" s="323"/>
      <c r="I42" s="323"/>
      <c r="J42" s="323"/>
      <c r="K42" s="323"/>
      <c r="L42" s="323"/>
      <c r="M42" s="323"/>
      <c r="N42" s="323"/>
      <c r="O42" s="323"/>
    </row>
    <row r="43" spans="1:17" ht="19.5" customHeight="1">
      <c r="A43" s="323" t="s">
        <v>528</v>
      </c>
      <c r="B43" s="323"/>
      <c r="C43" s="323"/>
      <c r="D43" s="323"/>
      <c r="E43" s="323"/>
      <c r="F43" s="323"/>
      <c r="G43" s="323"/>
      <c r="H43" s="323"/>
      <c r="I43" s="323"/>
      <c r="J43" s="323"/>
      <c r="K43" s="323"/>
      <c r="L43" s="323"/>
      <c r="M43" s="323"/>
      <c r="N43" s="323"/>
      <c r="O43" s="323"/>
    </row>
    <row r="44" spans="1:17" ht="22.5" customHeight="1">
      <c r="A44" s="323" t="s">
        <v>529</v>
      </c>
      <c r="B44" s="323"/>
      <c r="C44" s="323"/>
      <c r="D44" s="323"/>
      <c r="E44" s="323"/>
      <c r="F44" s="323"/>
      <c r="G44" s="323"/>
      <c r="H44" s="323"/>
      <c r="I44" s="323"/>
      <c r="J44" s="323"/>
      <c r="K44" s="323"/>
      <c r="L44" s="323"/>
      <c r="M44" s="323"/>
      <c r="N44" s="323"/>
      <c r="O44" s="323"/>
    </row>
    <row r="45" spans="1:17" ht="18.75" customHeight="1">
      <c r="A45" s="323" t="s">
        <v>530</v>
      </c>
      <c r="B45" s="323"/>
      <c r="C45" s="323"/>
      <c r="D45" s="323"/>
      <c r="E45" s="323"/>
      <c r="F45" s="323"/>
      <c r="G45" s="323"/>
      <c r="H45" s="323"/>
      <c r="I45" s="323"/>
      <c r="J45" s="323"/>
      <c r="K45" s="323"/>
      <c r="L45" s="323"/>
      <c r="M45" s="323"/>
      <c r="N45" s="323"/>
      <c r="O45" s="323"/>
    </row>
    <row r="46" spans="1:17" ht="57" customHeight="1">
      <c r="A46" s="323" t="s">
        <v>468</v>
      </c>
      <c r="B46" s="323"/>
      <c r="C46" s="323"/>
      <c r="D46" s="323"/>
      <c r="E46" s="323"/>
      <c r="F46" s="323"/>
      <c r="G46" s="323"/>
      <c r="H46" s="323"/>
      <c r="I46" s="323"/>
      <c r="J46" s="323"/>
      <c r="K46" s="323"/>
      <c r="L46" s="323"/>
      <c r="M46" s="323"/>
      <c r="N46" s="323"/>
      <c r="O46" s="323"/>
    </row>
  </sheetData>
  <sheetProtection formatCells="0" formatColumns="0" formatRows="0" insertColumns="0" insertRows="0" insertHyperlinks="0" deleteColumns="0" deleteRows="0" sort="0" autoFilter="0" pivotTables="0"/>
  <mergeCells count="6">
    <mergeCell ref="A46:O46"/>
    <mergeCell ref="A44:O44"/>
    <mergeCell ref="A45:O45"/>
    <mergeCell ref="A41:Q41"/>
    <mergeCell ref="A42:O42"/>
    <mergeCell ref="A43:O43"/>
  </mergeCells>
  <pageMargins left="0.70866141732283472" right="0.70866141732283472" top="0.74803149606299213" bottom="0.74803149606299213" header="0.31496062992125984" footer="0.31496062992125984"/>
  <pageSetup paperSize="9" scale="66"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tint="-0.499984740745262"/>
    <pageSetUpPr fitToPage="1"/>
  </sheetPr>
  <dimension ref="A1:P61"/>
  <sheetViews>
    <sheetView zoomScaleNormal="100" workbookViewId="0">
      <selection activeCell="A60" sqref="A60"/>
    </sheetView>
  </sheetViews>
  <sheetFormatPr defaultColWidth="9.140625" defaultRowHeight="15"/>
  <cols>
    <col min="1" max="1" width="40.5703125" style="18" bestFit="1" customWidth="1"/>
    <col min="2" max="5" width="9.140625" style="18" customWidth="1"/>
    <col min="6" max="13" width="9.140625" style="18"/>
    <col min="14" max="14" width="6.7109375" style="18" customWidth="1"/>
    <col min="15" max="16" width="15.28515625" style="18" customWidth="1"/>
    <col min="17" max="16384" width="9.140625" style="18"/>
  </cols>
  <sheetData>
    <row r="1" spans="1:16" ht="36.75" customHeight="1">
      <c r="A1" s="16" t="s">
        <v>112</v>
      </c>
      <c r="B1" s="327" t="s">
        <v>245</v>
      </c>
      <c r="C1" s="327"/>
      <c r="D1" s="327"/>
      <c r="E1" s="327"/>
      <c r="F1" s="327"/>
      <c r="G1" s="327"/>
      <c r="H1" s="327"/>
      <c r="I1" s="327"/>
      <c r="J1" s="327"/>
      <c r="K1" s="327"/>
      <c r="L1" s="327"/>
      <c r="M1" s="327"/>
      <c r="N1" s="327"/>
      <c r="O1" s="327"/>
      <c r="P1" s="327"/>
    </row>
    <row r="2" spans="1:16" ht="24.75">
      <c r="A2" s="19" t="s">
        <v>33</v>
      </c>
      <c r="B2" s="87">
        <v>43070</v>
      </c>
      <c r="C2" s="87">
        <v>42979</v>
      </c>
      <c r="D2" s="87">
        <v>42887</v>
      </c>
      <c r="E2" s="87" t="s">
        <v>50</v>
      </c>
      <c r="F2" s="87">
        <v>42705</v>
      </c>
      <c r="G2" s="87" t="s">
        <v>51</v>
      </c>
      <c r="H2" s="87" t="s">
        <v>52</v>
      </c>
      <c r="I2" s="87" t="s">
        <v>53</v>
      </c>
      <c r="J2" s="87" t="s">
        <v>54</v>
      </c>
      <c r="K2" s="87" t="s">
        <v>55</v>
      </c>
      <c r="L2" s="87" t="s">
        <v>56</v>
      </c>
      <c r="M2" s="87" t="s">
        <v>57</v>
      </c>
      <c r="N2" s="87"/>
      <c r="O2" s="88" t="s">
        <v>203</v>
      </c>
      <c r="P2" s="88" t="s">
        <v>204</v>
      </c>
    </row>
    <row r="3" spans="1:16">
      <c r="A3" s="89" t="s">
        <v>113</v>
      </c>
      <c r="B3" s="89"/>
      <c r="C3" s="89"/>
      <c r="D3" s="100"/>
      <c r="E3" s="100"/>
      <c r="F3" s="100"/>
      <c r="G3" s="100"/>
      <c r="H3" s="100"/>
      <c r="I3" s="100"/>
      <c r="J3" s="100"/>
      <c r="K3" s="100"/>
      <c r="L3" s="100"/>
      <c r="M3" s="100"/>
      <c r="N3" s="100"/>
      <c r="O3" s="100"/>
      <c r="P3" s="100"/>
    </row>
    <row r="4" spans="1:16">
      <c r="A4" s="38" t="s">
        <v>105</v>
      </c>
      <c r="B4" s="180">
        <v>3154.7420000000002</v>
      </c>
      <c r="C4" s="81">
        <v>2976.6469999999999</v>
      </c>
      <c r="D4" s="81">
        <v>3234.9589999999998</v>
      </c>
      <c r="E4" s="81">
        <v>3609.2570000000001</v>
      </c>
      <c r="F4" s="81">
        <v>3852.3470000000002</v>
      </c>
      <c r="G4" s="81">
        <v>4158.1120000000001</v>
      </c>
      <c r="H4" s="81">
        <v>4492.2740000000003</v>
      </c>
      <c r="I4" s="81">
        <v>5325.7479999999996</v>
      </c>
      <c r="J4" s="81">
        <v>6245.7780000000002</v>
      </c>
      <c r="K4" s="81">
        <v>6742.3869999999997</v>
      </c>
      <c r="L4" s="81">
        <v>7097.5129999999999</v>
      </c>
      <c r="M4" s="81">
        <v>7175.9690000000001</v>
      </c>
      <c r="N4" s="101"/>
      <c r="O4" s="103">
        <v>5.9830406494287044E-2</v>
      </c>
      <c r="P4" s="103">
        <v>-0.18108597174657429</v>
      </c>
    </row>
    <row r="5" spans="1:16">
      <c r="A5" s="38" t="s">
        <v>9</v>
      </c>
      <c r="B5" s="180">
        <v>1524.636</v>
      </c>
      <c r="C5" s="81">
        <v>2010.692</v>
      </c>
      <c r="D5" s="81">
        <v>2137.4349999999999</v>
      </c>
      <c r="E5" s="81">
        <v>2268.556</v>
      </c>
      <c r="F5" s="81">
        <v>2356.41</v>
      </c>
      <c r="G5" s="81">
        <v>2493.9960000000001</v>
      </c>
      <c r="H5" s="81">
        <v>2649.6950000000002</v>
      </c>
      <c r="I5" s="81">
        <v>2787.3220000000001</v>
      </c>
      <c r="J5" s="81">
        <v>2900.692</v>
      </c>
      <c r="K5" s="81">
        <v>3034.4870000000001</v>
      </c>
      <c r="L5" s="81">
        <v>3129.971</v>
      </c>
      <c r="M5" s="81">
        <v>3137.12</v>
      </c>
      <c r="N5" s="101"/>
      <c r="O5" s="103">
        <v>-0.24173568104911147</v>
      </c>
      <c r="P5" s="103">
        <v>-0.35298356398080127</v>
      </c>
    </row>
    <row r="6" spans="1:16">
      <c r="A6" s="38" t="s">
        <v>106</v>
      </c>
      <c r="B6" s="180">
        <v>1173.4459999999999</v>
      </c>
      <c r="C6" s="81">
        <v>1161</v>
      </c>
      <c r="D6" s="81">
        <v>1153.53</v>
      </c>
      <c r="E6" s="81">
        <v>1105.7190000000001</v>
      </c>
      <c r="F6" s="81">
        <v>1076.452</v>
      </c>
      <c r="G6" s="81">
        <v>1090.2</v>
      </c>
      <c r="H6" s="81">
        <v>1088.2760000000001</v>
      </c>
      <c r="I6" s="81">
        <v>1106.421</v>
      </c>
      <c r="J6" s="81">
        <v>1105.3820000000001</v>
      </c>
      <c r="K6" s="81">
        <v>1137.7370000000001</v>
      </c>
      <c r="L6" s="81">
        <v>1176.453</v>
      </c>
      <c r="M6" s="81">
        <v>1212.8030000000001</v>
      </c>
      <c r="N6" s="101"/>
      <c r="O6" s="103">
        <v>1.0720068906115342E-2</v>
      </c>
      <c r="P6" s="103">
        <v>9.0105271763162603E-2</v>
      </c>
    </row>
    <row r="7" spans="1:16">
      <c r="A7" s="38" t="s">
        <v>107</v>
      </c>
      <c r="B7" s="180">
        <v>1051.931</v>
      </c>
      <c r="C7" s="81">
        <v>1033.8330000000001</v>
      </c>
      <c r="D7" s="81">
        <v>1034.825</v>
      </c>
      <c r="E7" s="81">
        <v>1027.31</v>
      </c>
      <c r="F7" s="81">
        <v>1023.557</v>
      </c>
      <c r="G7" s="81">
        <v>1025.817</v>
      </c>
      <c r="H7" s="81">
        <v>1038.607</v>
      </c>
      <c r="I7" s="81">
        <v>1069.1130000000001</v>
      </c>
      <c r="J7" s="81">
        <v>1077.48</v>
      </c>
      <c r="K7" s="81">
        <v>1082.9929999999999</v>
      </c>
      <c r="L7" s="81">
        <v>1242.4559999999999</v>
      </c>
      <c r="M7" s="81">
        <v>1263.0119999999999</v>
      </c>
      <c r="N7" s="101"/>
      <c r="O7" s="103">
        <v>1.7505728681518153E-2</v>
      </c>
      <c r="P7" s="103">
        <v>2.7720976946081187E-2</v>
      </c>
    </row>
    <row r="8" spans="1:16" ht="15.75" thickBot="1">
      <c r="A8" s="19" t="s">
        <v>109</v>
      </c>
      <c r="B8" s="181">
        <v>6904.7550000000001</v>
      </c>
      <c r="C8" s="110">
        <v>7182.1719999999996</v>
      </c>
      <c r="D8" s="110">
        <v>7560.7489999999998</v>
      </c>
      <c r="E8" s="110">
        <v>8010.8419999999996</v>
      </c>
      <c r="F8" s="110">
        <v>8308.7659999999996</v>
      </c>
      <c r="G8" s="110">
        <v>8768.125</v>
      </c>
      <c r="H8" s="110">
        <v>9268.8520000000008</v>
      </c>
      <c r="I8" s="110">
        <v>10288.603999999999</v>
      </c>
      <c r="J8" s="110">
        <v>11329.332</v>
      </c>
      <c r="K8" s="110">
        <v>11997.603999999999</v>
      </c>
      <c r="L8" s="110">
        <v>12646.393</v>
      </c>
      <c r="M8" s="110">
        <v>12788.904</v>
      </c>
      <c r="N8" s="101"/>
      <c r="O8" s="150">
        <v>-3.8625919847087999E-2</v>
      </c>
      <c r="P8" s="150">
        <v>-0.16897960539507309</v>
      </c>
    </row>
    <row r="9" spans="1:16" ht="15.75" thickTop="1">
      <c r="A9" s="38"/>
      <c r="B9" s="77"/>
      <c r="C9" s="81"/>
      <c r="D9" s="81"/>
      <c r="E9" s="81"/>
      <c r="F9" s="81"/>
      <c r="G9" s="81"/>
      <c r="H9" s="81"/>
      <c r="I9" s="81"/>
      <c r="J9" s="81"/>
      <c r="K9" s="81"/>
      <c r="L9" s="81"/>
      <c r="M9" s="81"/>
      <c r="N9" s="101"/>
      <c r="O9" s="103"/>
      <c r="P9" s="103"/>
    </row>
    <row r="10" spans="1:16">
      <c r="A10" s="38" t="s">
        <v>105</v>
      </c>
      <c r="B10" s="180">
        <v>2846.808</v>
      </c>
      <c r="C10" s="81">
        <v>2654.51</v>
      </c>
      <c r="D10" s="81">
        <v>2868.0309999999999</v>
      </c>
      <c r="E10" s="81">
        <v>3166.1010000000001</v>
      </c>
      <c r="F10" s="81">
        <v>3369.4389999999999</v>
      </c>
      <c r="G10" s="81">
        <v>3635.4639999999999</v>
      </c>
      <c r="H10" s="81">
        <v>3940.1759999999999</v>
      </c>
      <c r="I10" s="81">
        <v>4713.375</v>
      </c>
      <c r="J10" s="81">
        <v>5618.2489999999998</v>
      </c>
      <c r="K10" s="81">
        <v>6091.25</v>
      </c>
      <c r="L10" s="81">
        <v>6203.8159999999998</v>
      </c>
      <c r="M10" s="81">
        <v>6193.4250000000002</v>
      </c>
      <c r="N10" s="101"/>
      <c r="O10" s="103">
        <v>7.2441618227092594E-2</v>
      </c>
      <c r="P10" s="103">
        <v>-0.15510950042425461</v>
      </c>
    </row>
    <row r="11" spans="1:16">
      <c r="A11" s="38" t="s">
        <v>9</v>
      </c>
      <c r="B11" s="180">
        <v>1501.213</v>
      </c>
      <c r="C11" s="81">
        <v>1984.422</v>
      </c>
      <c r="D11" s="81">
        <v>2109.0509999999999</v>
      </c>
      <c r="E11" s="81">
        <v>2238.2710000000002</v>
      </c>
      <c r="F11" s="81">
        <v>2323.027</v>
      </c>
      <c r="G11" s="81">
        <v>2441.346</v>
      </c>
      <c r="H11" s="81">
        <v>2594.183</v>
      </c>
      <c r="I11" s="81">
        <v>2725.0880000000002</v>
      </c>
      <c r="J11" s="81">
        <v>2836.239</v>
      </c>
      <c r="K11" s="81">
        <v>2966.6779999999999</v>
      </c>
      <c r="L11" s="81">
        <v>3014.9580000000001</v>
      </c>
      <c r="M11" s="81">
        <v>3015.73</v>
      </c>
      <c r="N11" s="101"/>
      <c r="O11" s="103">
        <v>-0.24350113030393739</v>
      </c>
      <c r="P11" s="103">
        <v>-0.3537685958880375</v>
      </c>
    </row>
    <row r="12" spans="1:16">
      <c r="A12" s="38" t="s">
        <v>106</v>
      </c>
      <c r="B12" s="180">
        <v>1172.0630000000001</v>
      </c>
      <c r="C12" s="81">
        <v>1159.5989999999999</v>
      </c>
      <c r="D12" s="81">
        <v>1152.8689999999999</v>
      </c>
      <c r="E12" s="81">
        <v>1104.82</v>
      </c>
      <c r="F12" s="81">
        <v>1075.4169999999999</v>
      </c>
      <c r="G12" s="81">
        <v>1089.008</v>
      </c>
      <c r="H12" s="81">
        <v>1087.6500000000001</v>
      </c>
      <c r="I12" s="81">
        <v>1105.761</v>
      </c>
      <c r="J12" s="81">
        <v>1105.271</v>
      </c>
      <c r="K12" s="81">
        <v>1136.8989999999999</v>
      </c>
      <c r="L12" s="81">
        <v>1156.653</v>
      </c>
      <c r="M12" s="81">
        <v>1192.8679999999999</v>
      </c>
      <c r="N12" s="101"/>
      <c r="O12" s="103">
        <v>1.0748543246415502E-2</v>
      </c>
      <c r="P12" s="103">
        <v>8.9868395236452639E-2</v>
      </c>
    </row>
    <row r="13" spans="1:16">
      <c r="A13" s="38" t="s">
        <v>107</v>
      </c>
      <c r="B13" s="182">
        <v>1050.838</v>
      </c>
      <c r="C13" s="175">
        <v>1030.4570000000001</v>
      </c>
      <c r="D13" s="175">
        <v>1031.4580000000001</v>
      </c>
      <c r="E13" s="175">
        <v>1023.907</v>
      </c>
      <c r="F13" s="175">
        <v>1013.729</v>
      </c>
      <c r="G13" s="175">
        <v>1017.0359999999999</v>
      </c>
      <c r="H13" s="175">
        <v>1029.046</v>
      </c>
      <c r="I13" s="175">
        <v>1059.6030000000001</v>
      </c>
      <c r="J13" s="175">
        <v>1066.4670000000001</v>
      </c>
      <c r="K13" s="175">
        <v>1077.942</v>
      </c>
      <c r="L13" s="175">
        <v>1101.231</v>
      </c>
      <c r="M13" s="175">
        <v>1129.3399999999999</v>
      </c>
      <c r="N13" s="101"/>
      <c r="O13" s="103">
        <v>1.9778603085815184E-2</v>
      </c>
      <c r="P13" s="103">
        <v>3.6606430318161881E-2</v>
      </c>
    </row>
    <row r="14" spans="1:16">
      <c r="A14" s="90" t="s">
        <v>7</v>
      </c>
      <c r="B14" s="180">
        <v>6570.9219999999996</v>
      </c>
      <c r="C14" s="81">
        <v>6828.9880000000003</v>
      </c>
      <c r="D14" s="81">
        <v>7161.4089999999997</v>
      </c>
      <c r="E14" s="125">
        <v>7533.0990000000002</v>
      </c>
      <c r="F14" s="125">
        <v>7781.6120000000001</v>
      </c>
      <c r="G14" s="125">
        <v>8182.8540000000003</v>
      </c>
      <c r="H14" s="125">
        <v>8651.0550000000003</v>
      </c>
      <c r="I14" s="125">
        <v>9603.8269999999993</v>
      </c>
      <c r="J14" s="125">
        <v>10626.226000000001</v>
      </c>
      <c r="K14" s="125">
        <v>11272.769</v>
      </c>
      <c r="L14" s="125">
        <v>11476.657999999999</v>
      </c>
      <c r="M14" s="81">
        <v>11531.362999999999</v>
      </c>
      <c r="N14" s="96"/>
      <c r="O14" s="103">
        <v>-3.7789933149684846E-2</v>
      </c>
      <c r="P14" s="103">
        <v>-0.15558357317224245</v>
      </c>
    </row>
    <row r="15" spans="1:16">
      <c r="A15" s="90" t="s">
        <v>88</v>
      </c>
      <c r="B15" s="180">
        <v>14.951000000000001</v>
      </c>
      <c r="C15" s="81">
        <v>17.756</v>
      </c>
      <c r="D15" s="81">
        <v>17.785</v>
      </c>
      <c r="E15" s="81">
        <v>20.513000000000002</v>
      </c>
      <c r="F15" s="81">
        <v>20.783999999999999</v>
      </c>
      <c r="G15" s="81">
        <v>55.597000000000001</v>
      </c>
      <c r="H15" s="125">
        <v>48.591000000000001</v>
      </c>
      <c r="I15" s="125">
        <v>55.588000000000001</v>
      </c>
      <c r="J15" s="125">
        <v>71.317999999999998</v>
      </c>
      <c r="K15" s="125">
        <v>75.757000000000005</v>
      </c>
      <c r="L15" s="125">
        <v>91.316000000000003</v>
      </c>
      <c r="M15" s="81">
        <v>112.136</v>
      </c>
      <c r="N15" s="96"/>
      <c r="O15" s="103">
        <v>-0.15797476909213784</v>
      </c>
      <c r="P15" s="103">
        <v>-0.28064857582755959</v>
      </c>
    </row>
    <row r="16" spans="1:16">
      <c r="A16" s="90" t="s">
        <v>114</v>
      </c>
      <c r="B16" s="180">
        <v>318.88200000000001</v>
      </c>
      <c r="C16" s="81">
        <v>335.428</v>
      </c>
      <c r="D16" s="81">
        <v>381.55500000000001</v>
      </c>
      <c r="E16" s="81">
        <v>457.23</v>
      </c>
      <c r="F16" s="81">
        <v>506.37</v>
      </c>
      <c r="G16" s="81">
        <v>529.67399999999998</v>
      </c>
      <c r="H16" s="81">
        <v>569.20600000000002</v>
      </c>
      <c r="I16" s="81">
        <v>629.18899999999996</v>
      </c>
      <c r="J16" s="81">
        <v>631.78800000000001</v>
      </c>
      <c r="K16" s="81">
        <v>649.07799999999997</v>
      </c>
      <c r="L16" s="81">
        <v>1078.4190000000001</v>
      </c>
      <c r="M16" s="81">
        <v>1145.405</v>
      </c>
      <c r="N16" s="102"/>
      <c r="O16" s="103">
        <v>-4.9328022705319746E-2</v>
      </c>
      <c r="P16" s="103">
        <v>-0.37025890159369629</v>
      </c>
    </row>
    <row r="17" spans="1:16" ht="15.75" thickBot="1">
      <c r="A17" s="94" t="s">
        <v>115</v>
      </c>
      <c r="B17" s="181">
        <v>6904.7550000000001</v>
      </c>
      <c r="C17" s="110">
        <v>7182.1719999999996</v>
      </c>
      <c r="D17" s="110">
        <v>7560.7489999999998</v>
      </c>
      <c r="E17" s="110">
        <v>8010.8419999999996</v>
      </c>
      <c r="F17" s="110">
        <v>8308.7659999999996</v>
      </c>
      <c r="G17" s="110">
        <v>8768.125</v>
      </c>
      <c r="H17" s="147">
        <v>9268.8520000000008</v>
      </c>
      <c r="I17" s="147">
        <v>10288.603999999999</v>
      </c>
      <c r="J17" s="147">
        <v>11329.332</v>
      </c>
      <c r="K17" s="147">
        <v>11997.603999999999</v>
      </c>
      <c r="L17" s="147">
        <v>12646.393</v>
      </c>
      <c r="M17" s="110">
        <v>12788.904</v>
      </c>
      <c r="N17" s="96"/>
      <c r="O17" s="150">
        <v>-3.8625919847087999E-2</v>
      </c>
      <c r="P17" s="150">
        <v>-0.16897960539507309</v>
      </c>
    </row>
    <row r="18" spans="1:16" ht="15.75" thickTop="1">
      <c r="A18" s="90"/>
      <c r="B18" s="96"/>
      <c r="C18" s="198"/>
      <c r="D18" s="198"/>
      <c r="E18" s="198"/>
      <c r="F18" s="98"/>
      <c r="G18" s="98"/>
      <c r="H18" s="73"/>
      <c r="I18" s="73"/>
      <c r="J18" s="73"/>
      <c r="K18" s="73"/>
      <c r="L18" s="73"/>
      <c r="M18" s="98"/>
      <c r="N18" s="96"/>
      <c r="O18" s="96"/>
      <c r="P18" s="96"/>
    </row>
    <row r="19" spans="1:16">
      <c r="A19" s="21" t="s">
        <v>185</v>
      </c>
      <c r="B19" s="76"/>
      <c r="C19" s="199"/>
      <c r="D19" s="199"/>
      <c r="E19" s="199"/>
      <c r="F19" s="99"/>
      <c r="G19" s="99"/>
      <c r="H19" s="99"/>
      <c r="I19" s="99"/>
      <c r="J19" s="99"/>
      <c r="K19" s="99"/>
      <c r="L19" s="99"/>
      <c r="M19" s="99"/>
      <c r="N19" s="76"/>
      <c r="O19" s="76"/>
      <c r="P19" s="76"/>
    </row>
    <row r="20" spans="1:16">
      <c r="A20" s="38" t="s">
        <v>105</v>
      </c>
      <c r="B20" s="183">
        <v>0.65102024829923488</v>
      </c>
      <c r="C20" s="200">
        <v>0.67593868548244307</v>
      </c>
      <c r="D20" s="200">
        <v>0.67119183858193998</v>
      </c>
      <c r="E20" s="200">
        <v>0.60346811425156688</v>
      </c>
      <c r="F20" s="111">
        <v>0.59880532041090517</v>
      </c>
      <c r="G20" s="111">
        <v>0.60403926431399124</v>
      </c>
      <c r="H20" s="156">
        <v>0.58889856696756693</v>
      </c>
      <c r="I20" s="156">
        <v>0.52138902591030845</v>
      </c>
      <c r="J20" s="156">
        <v>0.50757878477796192</v>
      </c>
      <c r="K20" s="156">
        <v>0.42950389730515082</v>
      </c>
      <c r="L20" s="156">
        <v>0.43334263943353574</v>
      </c>
      <c r="M20" s="111">
        <v>0.42047493914917838</v>
      </c>
      <c r="N20" s="96"/>
      <c r="O20" s="103">
        <v>-2.4918437183208186E-2</v>
      </c>
      <c r="P20" s="103">
        <v>5.221492788832971E-2</v>
      </c>
    </row>
    <row r="21" spans="1:16">
      <c r="A21" s="38" t="s">
        <v>9</v>
      </c>
      <c r="B21" s="183">
        <v>0.60476494674639769</v>
      </c>
      <c r="C21" s="200">
        <v>0.61073803858251929</v>
      </c>
      <c r="D21" s="200">
        <v>0.59056514043520048</v>
      </c>
      <c r="E21" s="200">
        <v>0.48185898847816017</v>
      </c>
      <c r="F21" s="111">
        <v>0.47456056257632823</v>
      </c>
      <c r="G21" s="111">
        <v>0.44764609358935603</v>
      </c>
      <c r="H21" s="156">
        <v>0.43096805429686341</v>
      </c>
      <c r="I21" s="156">
        <v>0.40704703848095913</v>
      </c>
      <c r="J21" s="156">
        <v>0.39035250555401008</v>
      </c>
      <c r="K21" s="156">
        <v>0.32538483375681487</v>
      </c>
      <c r="L21" s="156">
        <v>0.31885518803247009</v>
      </c>
      <c r="M21" s="111">
        <v>0.31212674874740115</v>
      </c>
      <c r="N21" s="96"/>
      <c r="O21" s="103">
        <v>-5.9730918361216023E-3</v>
      </c>
      <c r="P21" s="103">
        <v>0.13020438417006946</v>
      </c>
    </row>
    <row r="22" spans="1:16">
      <c r="A22" s="38" t="s">
        <v>106</v>
      </c>
      <c r="B22" s="183">
        <v>0.42134509834368972</v>
      </c>
      <c r="C22" s="200">
        <v>0.4352513239490548</v>
      </c>
      <c r="D22" s="200">
        <v>0.42597988149564259</v>
      </c>
      <c r="E22" s="200">
        <v>0.33443004290291634</v>
      </c>
      <c r="F22" s="111">
        <v>0.35027156907506579</v>
      </c>
      <c r="G22" s="111">
        <v>0.33816739638276305</v>
      </c>
      <c r="H22" s="156">
        <v>0.34286397278536296</v>
      </c>
      <c r="I22" s="156">
        <v>0.34891536236130594</v>
      </c>
      <c r="J22" s="156">
        <v>0.30611225663208391</v>
      </c>
      <c r="K22" s="156">
        <v>0.25253019779241609</v>
      </c>
      <c r="L22" s="156">
        <v>0.24467234339080088</v>
      </c>
      <c r="M22" s="111">
        <v>0.26050325769490001</v>
      </c>
      <c r="N22" s="96"/>
      <c r="O22" s="103">
        <v>-1.3906225605365086E-2</v>
      </c>
      <c r="P22" s="103">
        <v>7.1073529268623925E-2</v>
      </c>
    </row>
    <row r="23" spans="1:16">
      <c r="A23" s="38" t="s">
        <v>107</v>
      </c>
      <c r="B23" s="183">
        <v>0.63954767528391632</v>
      </c>
      <c r="C23" s="200">
        <v>0.64396864692073519</v>
      </c>
      <c r="D23" s="200">
        <v>0.63493229971554832</v>
      </c>
      <c r="E23" s="200">
        <v>0.56833481947090903</v>
      </c>
      <c r="F23" s="111">
        <v>0.5869310239718899</v>
      </c>
      <c r="G23" s="111">
        <v>0.5753257505142394</v>
      </c>
      <c r="H23" s="156">
        <v>0.57900132744308808</v>
      </c>
      <c r="I23" s="156">
        <v>0.58098835129760862</v>
      </c>
      <c r="J23" s="156">
        <v>0.57448566153476854</v>
      </c>
      <c r="K23" s="156">
        <v>0.51403319772306866</v>
      </c>
      <c r="L23" s="156">
        <v>0.50556695189292711</v>
      </c>
      <c r="M23" s="111">
        <v>0.5174827775514903</v>
      </c>
      <c r="N23" s="96"/>
      <c r="O23" s="103">
        <v>-4.4209716368188712E-3</v>
      </c>
      <c r="P23" s="103">
        <v>5.2616651312026419E-2</v>
      </c>
    </row>
    <row r="24" spans="1:16">
      <c r="A24" s="19" t="s">
        <v>116</v>
      </c>
      <c r="B24" s="184">
        <v>0.59765046635015096</v>
      </c>
      <c r="C24" s="201">
        <v>0.61129804298967871</v>
      </c>
      <c r="D24" s="201">
        <v>0.60274954272266812</v>
      </c>
      <c r="E24" s="201">
        <v>0.52310197967662442</v>
      </c>
      <c r="F24" s="151">
        <v>0.52582061403215685</v>
      </c>
      <c r="G24" s="151">
        <v>0.51842743375355349</v>
      </c>
      <c r="H24" s="157">
        <v>0.50943023712136848</v>
      </c>
      <c r="I24" s="157">
        <v>0.47566194184880672</v>
      </c>
      <c r="J24" s="157">
        <v>0.46204964961219536</v>
      </c>
      <c r="K24" s="157">
        <v>0.39233722831187262</v>
      </c>
      <c r="L24" s="157">
        <v>0.3911818231404996</v>
      </c>
      <c r="M24" s="151">
        <v>0.38509151086476073</v>
      </c>
      <c r="N24" s="96"/>
      <c r="O24" s="149">
        <v>-1.3647576639527759E-2</v>
      </c>
      <c r="P24" s="149">
        <v>7.1829852317994103E-2</v>
      </c>
    </row>
    <row r="25" spans="1:16">
      <c r="A25" s="19" t="s">
        <v>117</v>
      </c>
      <c r="B25" s="184">
        <v>0.60889161157999971</v>
      </c>
      <c r="C25" s="201">
        <v>0.62233307277143335</v>
      </c>
      <c r="D25" s="201">
        <v>0.6134813165789712</v>
      </c>
      <c r="E25" s="201">
        <v>0.54100362262144708</v>
      </c>
      <c r="F25" s="151">
        <v>0.54387025411785705</v>
      </c>
      <c r="G25" s="151">
        <v>0.53632551644590543</v>
      </c>
      <c r="H25" s="157">
        <v>0.52592039376717459</v>
      </c>
      <c r="I25" s="157">
        <v>0.49333997041469624</v>
      </c>
      <c r="J25" s="157">
        <v>0.4806277344801867</v>
      </c>
      <c r="K25" s="157">
        <v>0.41112781691101707</v>
      </c>
      <c r="L25" s="157">
        <v>0.42549149196678199</v>
      </c>
      <c r="M25" s="151">
        <v>0.41863117923009818</v>
      </c>
      <c r="N25" s="96"/>
      <c r="O25" s="149">
        <v>-1.3441461191433635E-2</v>
      </c>
      <c r="P25" s="149">
        <v>6.5021357462142659E-2</v>
      </c>
    </row>
    <row r="26" spans="1:16">
      <c r="A26" s="24"/>
      <c r="B26" s="93"/>
      <c r="C26" s="98"/>
      <c r="D26" s="98"/>
      <c r="E26" s="98"/>
      <c r="F26" s="98"/>
      <c r="G26" s="98"/>
      <c r="H26" s="73"/>
      <c r="I26" s="73"/>
      <c r="J26" s="73"/>
      <c r="K26" s="73"/>
      <c r="L26" s="73"/>
      <c r="M26" s="98"/>
      <c r="N26" s="96"/>
      <c r="O26" s="96"/>
      <c r="P26" s="96"/>
    </row>
    <row r="27" spans="1:16">
      <c r="A27" s="21" t="s">
        <v>118</v>
      </c>
      <c r="B27" s="80"/>
      <c r="C27" s="99"/>
      <c r="D27" s="99"/>
      <c r="E27" s="99"/>
      <c r="F27" s="99"/>
      <c r="G27" s="99"/>
      <c r="H27" s="99"/>
      <c r="I27" s="99"/>
      <c r="J27" s="99"/>
      <c r="K27" s="99"/>
      <c r="L27" s="99"/>
      <c r="M27" s="99"/>
      <c r="N27" s="76"/>
      <c r="O27" s="76"/>
      <c r="P27" s="76"/>
    </row>
    <row r="28" spans="1:16">
      <c r="A28" s="104" t="s">
        <v>105</v>
      </c>
      <c r="B28" s="183">
        <v>0.62714261978420038</v>
      </c>
      <c r="C28" s="200">
        <v>0.59615484590376377</v>
      </c>
      <c r="D28" s="200">
        <v>0.59061879038267018</v>
      </c>
      <c r="E28" s="200">
        <v>0.600994409211835</v>
      </c>
      <c r="F28" s="111">
        <v>0.60927739009372184</v>
      </c>
      <c r="G28" s="111">
        <v>0.60725425970385072</v>
      </c>
      <c r="H28" s="111">
        <v>0.60024247647820805</v>
      </c>
      <c r="I28" s="111">
        <v>0.65147394383005808</v>
      </c>
      <c r="J28" s="111">
        <v>0.68261606062671842</v>
      </c>
      <c r="K28" s="111">
        <v>0.72144494390970648</v>
      </c>
      <c r="L28" s="111">
        <v>0.69107729933963225</v>
      </c>
      <c r="M28" s="111">
        <v>0.71190690127029876</v>
      </c>
      <c r="N28" s="105"/>
      <c r="O28" s="103">
        <v>3.0987773880436609E-2</v>
      </c>
      <c r="P28" s="103">
        <v>1.7865229690478546E-2</v>
      </c>
    </row>
    <row r="29" spans="1:16">
      <c r="A29" s="104" t="s">
        <v>9</v>
      </c>
      <c r="B29" s="183">
        <v>0.69136425010974456</v>
      </c>
      <c r="C29" s="200">
        <v>0.67277726209445365</v>
      </c>
      <c r="D29" s="200">
        <v>0.67807796018209132</v>
      </c>
      <c r="E29" s="200">
        <v>0.66871393142295998</v>
      </c>
      <c r="F29" s="111">
        <v>0.67348808257501958</v>
      </c>
      <c r="G29" s="111">
        <v>0.6916737734020495</v>
      </c>
      <c r="H29" s="111">
        <v>0.70489475877376417</v>
      </c>
      <c r="I29" s="111">
        <v>0.71605907772519639</v>
      </c>
      <c r="J29" s="111">
        <v>0.72977665140349601</v>
      </c>
      <c r="K29" s="111">
        <v>0.75354506534581778</v>
      </c>
      <c r="L29" s="111">
        <v>0.74747552505540715</v>
      </c>
      <c r="M29" s="111">
        <v>0.7569062880297639</v>
      </c>
      <c r="N29" s="105"/>
      <c r="O29" s="103">
        <v>1.8586988015290906E-2</v>
      </c>
      <c r="P29" s="103">
        <v>1.7876167534724985E-2</v>
      </c>
    </row>
    <row r="30" spans="1:16">
      <c r="A30" s="104" t="s">
        <v>106</v>
      </c>
      <c r="B30" s="183">
        <v>0.8021974927968889</v>
      </c>
      <c r="C30" s="200">
        <v>0.79698154275745325</v>
      </c>
      <c r="D30" s="200">
        <v>0.79330001934304761</v>
      </c>
      <c r="E30" s="200">
        <v>0.78755815426947373</v>
      </c>
      <c r="F30" s="111">
        <v>0.78186973053243536</v>
      </c>
      <c r="G30" s="111">
        <v>0.78376191910435922</v>
      </c>
      <c r="H30" s="111">
        <v>0.78590263411943184</v>
      </c>
      <c r="I30" s="111">
        <v>0.79099190512235462</v>
      </c>
      <c r="J30" s="111">
        <v>0.7935311792311569</v>
      </c>
      <c r="K30" s="111">
        <v>0.80771691269848944</v>
      </c>
      <c r="L30" s="111">
        <v>0.80148925835146756</v>
      </c>
      <c r="M30" s="111">
        <v>0.80766522364586857</v>
      </c>
      <c r="N30" s="105"/>
      <c r="O30" s="103">
        <v>5.2159500394356462E-3</v>
      </c>
      <c r="P30" s="103">
        <v>2.0327762264453542E-2</v>
      </c>
    </row>
    <row r="31" spans="1:16">
      <c r="A31" s="104" t="s">
        <v>107</v>
      </c>
      <c r="B31" s="183">
        <v>0.51228543314954356</v>
      </c>
      <c r="C31" s="200">
        <v>0.49267169809123523</v>
      </c>
      <c r="D31" s="200">
        <v>0.4963856986905914</v>
      </c>
      <c r="E31" s="200">
        <v>0.49396185395743947</v>
      </c>
      <c r="F31" s="111">
        <v>0.48120848865919785</v>
      </c>
      <c r="G31" s="111">
        <v>0.48777034441258715</v>
      </c>
      <c r="H31" s="111">
        <v>0.48511533983903538</v>
      </c>
      <c r="I31" s="111">
        <v>0.49022983136136838</v>
      </c>
      <c r="J31" s="111">
        <v>0.49073904771549426</v>
      </c>
      <c r="K31" s="111">
        <v>0.52848549463700278</v>
      </c>
      <c r="L31" s="111">
        <v>0.51571182078964362</v>
      </c>
      <c r="M31" s="111">
        <v>0.5247303734924823</v>
      </c>
      <c r="N31" s="96"/>
      <c r="O31" s="103">
        <v>1.9613735058308324E-2</v>
      </c>
      <c r="P31" s="103">
        <v>3.1076944490345704E-2</v>
      </c>
    </row>
    <row r="32" spans="1:16">
      <c r="A32" s="19" t="s">
        <v>119</v>
      </c>
      <c r="B32" s="184">
        <v>0.65467139233602112</v>
      </c>
      <c r="C32" s="201">
        <v>0.63690681547544092</v>
      </c>
      <c r="D32" s="201">
        <v>0.63543165876994323</v>
      </c>
      <c r="E32" s="201">
        <v>0.63392940939711528</v>
      </c>
      <c r="F32" s="151">
        <v>0.63561444595284367</v>
      </c>
      <c r="G32" s="151">
        <v>0.64108060586196458</v>
      </c>
      <c r="H32" s="151">
        <v>0.64127207606471115</v>
      </c>
      <c r="I32" s="151">
        <v>0.66807346696270142</v>
      </c>
      <c r="J32" s="151">
        <v>0.68748321370164722</v>
      </c>
      <c r="K32" s="151">
        <v>0.72014217122252744</v>
      </c>
      <c r="L32" s="151">
        <v>0.70019395195099476</v>
      </c>
      <c r="M32" s="151">
        <v>0.71524970638770113</v>
      </c>
      <c r="N32" s="96"/>
      <c r="O32" s="149">
        <v>1.7764576860580195E-2</v>
      </c>
      <c r="P32" s="149">
        <v>1.9056946383177453E-2</v>
      </c>
    </row>
    <row r="33" spans="1:16">
      <c r="A33" s="24"/>
      <c r="B33" s="93"/>
      <c r="C33" s="98"/>
      <c r="D33" s="98"/>
      <c r="E33" s="98"/>
      <c r="F33" s="98"/>
      <c r="G33" s="98"/>
      <c r="H33" s="73"/>
      <c r="I33" s="73"/>
      <c r="J33" s="73"/>
      <c r="K33" s="73"/>
      <c r="L33" s="73"/>
      <c r="M33" s="98"/>
      <c r="N33" s="96"/>
      <c r="O33" s="96"/>
      <c r="P33" s="96"/>
    </row>
    <row r="34" spans="1:16">
      <c r="A34" s="21" t="s">
        <v>186</v>
      </c>
      <c r="B34" s="80"/>
      <c r="C34" s="99"/>
      <c r="D34" s="99"/>
      <c r="E34" s="99"/>
      <c r="F34" s="99"/>
      <c r="G34" s="99"/>
      <c r="H34" s="99"/>
      <c r="I34" s="99"/>
      <c r="J34" s="99"/>
      <c r="K34" s="99"/>
      <c r="L34" s="99"/>
      <c r="M34" s="99"/>
      <c r="N34" s="76"/>
      <c r="O34" s="76"/>
      <c r="P34" s="76"/>
    </row>
    <row r="35" spans="1:16">
      <c r="A35" s="38" t="s">
        <v>105</v>
      </c>
      <c r="B35" s="183">
        <v>1.2781628680834354</v>
      </c>
      <c r="C35" s="200">
        <v>1.272093531386207</v>
      </c>
      <c r="D35" s="200">
        <v>1.2618106289646103</v>
      </c>
      <c r="E35" s="200">
        <v>1.2044625234634019</v>
      </c>
      <c r="F35" s="111">
        <v>1.208082710504627</v>
      </c>
      <c r="G35" s="111">
        <v>1.211293524017842</v>
      </c>
      <c r="H35" s="111">
        <v>1.189141043445775</v>
      </c>
      <c r="I35" s="111">
        <v>1.1728629697403665</v>
      </c>
      <c r="J35" s="111">
        <v>1.1901948454046805</v>
      </c>
      <c r="K35" s="111">
        <v>1.1509488412148574</v>
      </c>
      <c r="L35" s="111">
        <v>1.1244199387731679</v>
      </c>
      <c r="M35" s="111">
        <v>1.1323818404194772</v>
      </c>
      <c r="N35" s="96"/>
      <c r="O35" s="103">
        <v>6.0693366972284224E-3</v>
      </c>
      <c r="P35" s="103">
        <v>7.0080157578808366E-2</v>
      </c>
    </row>
    <row r="36" spans="1:16">
      <c r="A36" s="38" t="s">
        <v>9</v>
      </c>
      <c r="B36" s="183">
        <v>1.2961291968561421</v>
      </c>
      <c r="C36" s="200">
        <v>1.2835153006769731</v>
      </c>
      <c r="D36" s="200">
        <v>1.2686431006172918</v>
      </c>
      <c r="E36" s="200">
        <v>1.1505729199011201</v>
      </c>
      <c r="F36" s="111">
        <v>1.1480486451513479</v>
      </c>
      <c r="G36" s="111">
        <v>1.1393198669914055</v>
      </c>
      <c r="H36" s="111">
        <v>1.1358628130706276</v>
      </c>
      <c r="I36" s="111">
        <v>1.1231061162061555</v>
      </c>
      <c r="J36" s="111">
        <v>1.120129156957506</v>
      </c>
      <c r="K36" s="111">
        <v>1.0789298991026326</v>
      </c>
      <c r="L36" s="111">
        <v>1.0663307130878772</v>
      </c>
      <c r="M36" s="111">
        <v>1.069033036777165</v>
      </c>
      <c r="N36" s="96"/>
      <c r="O36" s="103">
        <v>1.2613896179169082E-2</v>
      </c>
      <c r="P36" s="103">
        <v>0.14808055170479428</v>
      </c>
    </row>
    <row r="37" spans="1:16">
      <c r="A37" s="38" t="s">
        <v>106</v>
      </c>
      <c r="B37" s="183">
        <v>1.2235425911405786</v>
      </c>
      <c r="C37" s="200">
        <v>1.2322328667065081</v>
      </c>
      <c r="D37" s="200">
        <v>1.2192799008386901</v>
      </c>
      <c r="E37" s="200">
        <v>1.12198819717239</v>
      </c>
      <c r="F37" s="111">
        <v>1.1321412996075011</v>
      </c>
      <c r="G37" s="111">
        <v>1.1219293154871224</v>
      </c>
      <c r="H37" s="111">
        <v>1.1287666069047948</v>
      </c>
      <c r="I37" s="111">
        <v>1.1399072674836606</v>
      </c>
      <c r="J37" s="111">
        <v>1.0996434358632408</v>
      </c>
      <c r="K37" s="111">
        <v>1.0602471104909055</v>
      </c>
      <c r="L37" s="111">
        <v>1.0461616017422684</v>
      </c>
      <c r="M37" s="111">
        <v>1.0681684813407686</v>
      </c>
      <c r="N37" s="96"/>
      <c r="O37" s="103">
        <v>-8.690275565929495E-3</v>
      </c>
      <c r="P37" s="103">
        <v>9.1401291533077522E-2</v>
      </c>
    </row>
    <row r="38" spans="1:16">
      <c r="A38" s="38" t="s">
        <v>107</v>
      </c>
      <c r="B38" s="183">
        <v>1.1518331084334599</v>
      </c>
      <c r="C38" s="200">
        <v>1.1366403450119704</v>
      </c>
      <c r="D38" s="200">
        <v>1.1313179984061397</v>
      </c>
      <c r="E38" s="200">
        <v>1.0622966734283485</v>
      </c>
      <c r="F38" s="111">
        <v>1.0681395126310878</v>
      </c>
      <c r="G38" s="111">
        <v>1.0630960949268267</v>
      </c>
      <c r="H38" s="111">
        <v>1.0641166672821234</v>
      </c>
      <c r="I38" s="111">
        <v>1.0712181826589771</v>
      </c>
      <c r="J38" s="111">
        <v>1.0652247092502627</v>
      </c>
      <c r="K38" s="111">
        <v>1.0425186923600713</v>
      </c>
      <c r="L38" s="111">
        <v>1.0212787726825707</v>
      </c>
      <c r="M38" s="111">
        <v>1.0422131510439727</v>
      </c>
      <c r="N38" s="96"/>
      <c r="O38" s="103">
        <v>1.5192763421489452E-2</v>
      </c>
      <c r="P38" s="103">
        <v>8.3693595802372123E-2</v>
      </c>
    </row>
    <row r="39" spans="1:16">
      <c r="A39" s="19" t="s">
        <v>120</v>
      </c>
      <c r="B39" s="184">
        <v>1.2523218586861722</v>
      </c>
      <c r="C39" s="201">
        <v>1.2482048584651197</v>
      </c>
      <c r="D39" s="201">
        <v>1.2381812014926115</v>
      </c>
      <c r="E39" s="201">
        <v>1.1570313890737398</v>
      </c>
      <c r="F39" s="151">
        <v>1.1614350599850005</v>
      </c>
      <c r="G39" s="151">
        <v>1.1595080396155182</v>
      </c>
      <c r="H39" s="151">
        <v>1.1507023131860796</v>
      </c>
      <c r="I39" s="151">
        <v>1.1437354088115081</v>
      </c>
      <c r="J39" s="151">
        <v>1.1495328633138426</v>
      </c>
      <c r="K39" s="151">
        <v>1.1124793995344</v>
      </c>
      <c r="L39" s="151">
        <v>1.0913757750914943</v>
      </c>
      <c r="M39" s="151">
        <v>1.1003412172524618</v>
      </c>
      <c r="N39" s="96"/>
      <c r="O39" s="149">
        <v>4.1170002210524359E-3</v>
      </c>
      <c r="P39" s="149">
        <v>9.0886798701171667E-2</v>
      </c>
    </row>
    <row r="40" spans="1:16">
      <c r="A40" s="90"/>
      <c r="B40" s="93"/>
      <c r="C40" s="98"/>
      <c r="D40" s="98"/>
      <c r="E40" s="98"/>
      <c r="F40" s="98"/>
      <c r="G40" s="98"/>
      <c r="H40" s="73"/>
      <c r="I40" s="73"/>
      <c r="J40" s="73"/>
      <c r="K40" s="73"/>
      <c r="L40" s="73"/>
      <c r="M40" s="98"/>
      <c r="N40" s="96"/>
      <c r="O40" s="96"/>
      <c r="P40" s="96"/>
    </row>
    <row r="41" spans="1:16">
      <c r="A41" s="21" t="s">
        <v>121</v>
      </c>
      <c r="B41" s="80"/>
      <c r="C41" s="99"/>
      <c r="D41" s="99"/>
      <c r="E41" s="99"/>
      <c r="F41" s="99"/>
      <c r="G41" s="99"/>
      <c r="H41" s="99"/>
      <c r="I41" s="99"/>
      <c r="J41" s="99"/>
      <c r="K41" s="99"/>
      <c r="L41" s="99"/>
      <c r="M41" s="99"/>
      <c r="N41" s="76"/>
      <c r="O41" s="76"/>
      <c r="P41" s="76"/>
    </row>
    <row r="42" spans="1:16">
      <c r="A42" s="106" t="s">
        <v>122</v>
      </c>
      <c r="B42" s="107"/>
      <c r="C42" s="112"/>
      <c r="D42" s="112"/>
      <c r="E42" s="112"/>
      <c r="F42" s="112"/>
      <c r="G42" s="112"/>
      <c r="H42" s="112"/>
      <c r="I42" s="112"/>
      <c r="J42" s="112"/>
      <c r="K42" s="112"/>
      <c r="L42" s="112"/>
      <c r="M42" s="112"/>
      <c r="N42" s="105"/>
      <c r="O42" s="105"/>
      <c r="P42" s="105"/>
    </row>
    <row r="43" spans="1:16">
      <c r="A43" s="108" t="s">
        <v>123</v>
      </c>
      <c r="B43" s="180">
        <v>438.53800000000001</v>
      </c>
      <c r="C43" s="81">
        <v>520.23400000000004</v>
      </c>
      <c r="D43" s="81">
        <v>467.40100000000001</v>
      </c>
      <c r="E43" s="81">
        <v>453.88099999999997</v>
      </c>
      <c r="F43" s="46">
        <v>455.39400000000001</v>
      </c>
      <c r="G43" s="46">
        <v>587.149</v>
      </c>
      <c r="H43" s="74">
        <v>573.88</v>
      </c>
      <c r="I43" s="74">
        <v>623.36500000000001</v>
      </c>
      <c r="J43" s="74">
        <v>468.791</v>
      </c>
      <c r="K43" s="74">
        <v>584.91399999999999</v>
      </c>
      <c r="L43" s="74">
        <v>668.40899999999999</v>
      </c>
      <c r="M43" s="46">
        <v>662.76199999999994</v>
      </c>
      <c r="N43" s="96"/>
      <c r="O43" s="103">
        <v>-0.15703702564615157</v>
      </c>
      <c r="P43" s="103">
        <v>-3.7014102074247782E-2</v>
      </c>
    </row>
    <row r="44" spans="1:16">
      <c r="A44" s="108" t="s">
        <v>124</v>
      </c>
      <c r="B44" s="180">
        <v>261.45299999999997</v>
      </c>
      <c r="C44" s="81">
        <v>308.54000000000002</v>
      </c>
      <c r="D44" s="81">
        <v>322.18599999999998</v>
      </c>
      <c r="E44" s="81">
        <v>419.70699999999999</v>
      </c>
      <c r="F44" s="46">
        <v>375.161</v>
      </c>
      <c r="G44" s="46">
        <v>344.09199999999998</v>
      </c>
      <c r="H44" s="74">
        <v>361.30900000000003</v>
      </c>
      <c r="I44" s="74">
        <v>385.93599999999998</v>
      </c>
      <c r="J44" s="74">
        <v>351.45</v>
      </c>
      <c r="K44" s="74">
        <v>354.89800000000002</v>
      </c>
      <c r="L44" s="74">
        <v>433.88299999999998</v>
      </c>
      <c r="M44" s="46">
        <v>595.529</v>
      </c>
      <c r="N44" s="96"/>
      <c r="O44" s="103">
        <v>-0.15261554417579576</v>
      </c>
      <c r="P44" s="103">
        <v>-0.30309387169775109</v>
      </c>
    </row>
    <row r="45" spans="1:16">
      <c r="A45" s="108" t="s">
        <v>125</v>
      </c>
      <c r="B45" s="180">
        <v>124.48399999999999</v>
      </c>
      <c r="C45" s="81">
        <v>165.51900000000001</v>
      </c>
      <c r="D45" s="81">
        <v>216.78899999999999</v>
      </c>
      <c r="E45" s="81">
        <v>173.46100000000001</v>
      </c>
      <c r="F45" s="46">
        <v>128.67500000000001</v>
      </c>
      <c r="G45" s="46">
        <v>145.994</v>
      </c>
      <c r="H45" s="74">
        <v>120.708</v>
      </c>
      <c r="I45" s="74">
        <v>133.10300000000001</v>
      </c>
      <c r="J45" s="74">
        <v>144.36199999999999</v>
      </c>
      <c r="K45" s="74">
        <v>199.66399999999999</v>
      </c>
      <c r="L45" s="74">
        <v>227.78200000000001</v>
      </c>
      <c r="M45" s="46">
        <v>344.08499999999998</v>
      </c>
      <c r="N45" s="96"/>
      <c r="O45" s="103">
        <v>-0.2479171575468678</v>
      </c>
      <c r="P45" s="103">
        <v>-3.2570429376335856E-2</v>
      </c>
    </row>
    <row r="46" spans="1:16">
      <c r="A46" s="108" t="s">
        <v>126</v>
      </c>
      <c r="B46" s="180">
        <v>252.03399999999999</v>
      </c>
      <c r="C46" s="81">
        <v>263.96899999999999</v>
      </c>
      <c r="D46" s="81">
        <v>201.12899999999999</v>
      </c>
      <c r="E46" s="81">
        <v>164.404</v>
      </c>
      <c r="F46" s="46">
        <v>140.714</v>
      </c>
      <c r="G46" s="46">
        <v>144.279</v>
      </c>
      <c r="H46" s="74">
        <v>175.28100000000001</v>
      </c>
      <c r="I46" s="74">
        <v>183.49199999999999</v>
      </c>
      <c r="J46" s="74">
        <v>258.92</v>
      </c>
      <c r="K46" s="74">
        <v>373.596</v>
      </c>
      <c r="L46" s="74">
        <v>528.56700000000001</v>
      </c>
      <c r="M46" s="46">
        <v>758.07100000000003</v>
      </c>
      <c r="N46" s="96"/>
      <c r="O46" s="103">
        <v>-4.5213642511052442E-2</v>
      </c>
      <c r="P46" s="103">
        <v>0.79110820529584824</v>
      </c>
    </row>
    <row r="47" spans="1:16">
      <c r="A47" s="108" t="s">
        <v>127</v>
      </c>
      <c r="B47" s="180">
        <v>1008.1849999999999</v>
      </c>
      <c r="C47" s="81">
        <v>967.779</v>
      </c>
      <c r="D47" s="81">
        <v>1002.057</v>
      </c>
      <c r="E47" s="81">
        <v>1071.46</v>
      </c>
      <c r="F47" s="46">
        <v>1138.183</v>
      </c>
      <c r="G47" s="46">
        <v>1266.674</v>
      </c>
      <c r="H47" s="74">
        <v>1376.0440000000001</v>
      </c>
      <c r="I47" s="74">
        <v>1575.3979999999999</v>
      </c>
      <c r="J47" s="74">
        <v>1825.4059999999999</v>
      </c>
      <c r="K47" s="74">
        <v>2097.4079999999999</v>
      </c>
      <c r="L47" s="74">
        <v>2245.9899999999998</v>
      </c>
      <c r="M47" s="46">
        <v>2266.5259999999998</v>
      </c>
      <c r="N47" s="96"/>
      <c r="O47" s="103">
        <v>4.1752300886876072E-2</v>
      </c>
      <c r="P47" s="103">
        <v>-0.11421449802008987</v>
      </c>
    </row>
    <row r="48" spans="1:16" ht="15.75" thickBot="1">
      <c r="A48" s="92" t="s">
        <v>128</v>
      </c>
      <c r="B48" s="181">
        <v>2084.694</v>
      </c>
      <c r="C48" s="110">
        <v>2226.0410000000002</v>
      </c>
      <c r="D48" s="110">
        <v>2209.5619999999999</v>
      </c>
      <c r="E48" s="110">
        <v>2282.913</v>
      </c>
      <c r="F48" s="72">
        <v>2238.127</v>
      </c>
      <c r="G48" s="72">
        <v>2488.1880000000001</v>
      </c>
      <c r="H48" s="97">
        <v>2607.2220000000002</v>
      </c>
      <c r="I48" s="97">
        <v>2901.2939999999999</v>
      </c>
      <c r="J48" s="97">
        <v>3048.9290000000001</v>
      </c>
      <c r="K48" s="97">
        <v>3610.48</v>
      </c>
      <c r="L48" s="97">
        <v>4104.6310000000003</v>
      </c>
      <c r="M48" s="72">
        <v>4626.973</v>
      </c>
      <c r="N48" s="96"/>
      <c r="O48" s="150">
        <v>-6.3497033522742927E-2</v>
      </c>
      <c r="P48" s="150">
        <v>-6.8554197326603894E-2</v>
      </c>
    </row>
    <row r="49" spans="1:16" ht="15.75" thickTop="1">
      <c r="A49" s="108"/>
      <c r="B49" s="93"/>
      <c r="C49" s="98"/>
      <c r="D49" s="98"/>
      <c r="E49" s="98"/>
      <c r="F49" s="98"/>
      <c r="G49" s="98"/>
      <c r="H49" s="73"/>
      <c r="I49" s="73"/>
      <c r="J49" s="73"/>
      <c r="K49" s="73"/>
      <c r="L49" s="73"/>
      <c r="M49" s="98"/>
      <c r="N49" s="96"/>
      <c r="O49" s="96"/>
      <c r="P49" s="96"/>
    </row>
    <row r="50" spans="1:16">
      <c r="A50" s="106" t="s">
        <v>129</v>
      </c>
      <c r="B50" s="78"/>
      <c r="C50" s="84"/>
      <c r="D50" s="84"/>
      <c r="E50" s="84"/>
      <c r="F50" s="84"/>
      <c r="G50" s="84"/>
      <c r="H50" s="84"/>
      <c r="I50" s="84"/>
      <c r="J50" s="84"/>
      <c r="K50" s="84"/>
      <c r="L50" s="84"/>
      <c r="M50" s="84"/>
      <c r="N50" s="109"/>
      <c r="O50" s="109"/>
      <c r="P50" s="109"/>
    </row>
    <row r="51" spans="1:16">
      <c r="A51" s="108" t="s">
        <v>130</v>
      </c>
      <c r="B51" s="180">
        <v>401.93299999999999</v>
      </c>
      <c r="C51" s="81">
        <v>342.02199999999999</v>
      </c>
      <c r="D51" s="81">
        <v>408.46499999999997</v>
      </c>
      <c r="E51" s="81">
        <v>379.01499999999999</v>
      </c>
      <c r="F51" s="46">
        <v>471.85500000000002</v>
      </c>
      <c r="G51" s="46">
        <v>514.18799999999999</v>
      </c>
      <c r="H51" s="74">
        <v>647.495</v>
      </c>
      <c r="I51" s="74">
        <v>859.97400000000005</v>
      </c>
      <c r="J51" s="74">
        <v>875.48800000000006</v>
      </c>
      <c r="K51" s="74">
        <v>847.96</v>
      </c>
      <c r="L51" s="74">
        <v>968.99199999999996</v>
      </c>
      <c r="M51" s="46">
        <v>1006.215</v>
      </c>
      <c r="N51" s="96"/>
      <c r="O51" s="103">
        <v>0.17516709451438797</v>
      </c>
      <c r="P51" s="103">
        <v>-0.14818535355140885</v>
      </c>
    </row>
    <row r="52" spans="1:16">
      <c r="A52" s="108" t="s">
        <v>131</v>
      </c>
      <c r="B52" s="180">
        <v>141.32900000000001</v>
      </c>
      <c r="C52" s="81">
        <v>17.917999999999999</v>
      </c>
      <c r="D52" s="81">
        <v>15.236000000000001</v>
      </c>
      <c r="E52" s="81">
        <v>17.861999999999998</v>
      </c>
      <c r="F52" s="46">
        <v>62.119</v>
      </c>
      <c r="G52" s="46">
        <v>22.286000000000001</v>
      </c>
      <c r="H52" s="74">
        <v>25.425999999999998</v>
      </c>
      <c r="I52" s="74">
        <v>35.561999999999998</v>
      </c>
      <c r="J52" s="74">
        <v>78.176000000000002</v>
      </c>
      <c r="K52" s="74">
        <v>65.832999999999998</v>
      </c>
      <c r="L52" s="74">
        <v>91.459000000000003</v>
      </c>
      <c r="M52" s="46">
        <v>67.72</v>
      </c>
      <c r="N52" s="96"/>
      <c r="O52" s="103">
        <v>6.8875432525951563</v>
      </c>
      <c r="P52" s="103">
        <v>1.2751332120607224</v>
      </c>
    </row>
    <row r="53" spans="1:16">
      <c r="A53" s="108" t="s">
        <v>132</v>
      </c>
      <c r="B53" s="180">
        <v>20.88</v>
      </c>
      <c r="C53" s="81">
        <v>25.157</v>
      </c>
      <c r="D53" s="81">
        <v>13.842000000000001</v>
      </c>
      <c r="E53" s="81">
        <v>50.377000000000002</v>
      </c>
      <c r="F53" s="46">
        <v>29.201000000000001</v>
      </c>
      <c r="G53" s="46">
        <v>52.006</v>
      </c>
      <c r="H53" s="74">
        <v>40.567</v>
      </c>
      <c r="I53" s="74">
        <v>57.186</v>
      </c>
      <c r="J53" s="74">
        <v>24.353000000000002</v>
      </c>
      <c r="K53" s="74">
        <v>60.02</v>
      </c>
      <c r="L53" s="74">
        <v>120.63200000000001</v>
      </c>
      <c r="M53" s="46">
        <v>274.69799999999998</v>
      </c>
      <c r="N53" s="96"/>
      <c r="O53" s="103">
        <v>-0.17001232261398422</v>
      </c>
      <c r="P53" s="103">
        <v>-0.28495599465771726</v>
      </c>
    </row>
    <row r="54" spans="1:16">
      <c r="A54" s="108" t="s">
        <v>125</v>
      </c>
      <c r="B54" s="180">
        <v>26.34</v>
      </c>
      <c r="C54" s="81">
        <v>12.923</v>
      </c>
      <c r="D54" s="81">
        <v>50.652999999999999</v>
      </c>
      <c r="E54" s="81">
        <v>41.658000000000001</v>
      </c>
      <c r="F54" s="46">
        <v>49.572000000000003</v>
      </c>
      <c r="G54" s="46">
        <v>14.519</v>
      </c>
      <c r="H54" s="74">
        <v>95.105999999999995</v>
      </c>
      <c r="I54" s="74">
        <v>48.63</v>
      </c>
      <c r="J54" s="74">
        <v>65.382000000000005</v>
      </c>
      <c r="K54" s="74">
        <v>152.261</v>
      </c>
      <c r="L54" s="74">
        <v>167.607</v>
      </c>
      <c r="M54" s="46">
        <v>181.00700000000001</v>
      </c>
      <c r="N54" s="96"/>
      <c r="O54" s="103">
        <v>1.038226418014393</v>
      </c>
      <c r="P54" s="103">
        <v>-0.4686516581941419</v>
      </c>
    </row>
    <row r="55" spans="1:16">
      <c r="A55" s="108" t="s">
        <v>126</v>
      </c>
      <c r="B55" s="180">
        <v>73.072999999999993</v>
      </c>
      <c r="C55" s="81">
        <v>96.543999999999997</v>
      </c>
      <c r="D55" s="81">
        <v>91.233000000000004</v>
      </c>
      <c r="E55" s="81">
        <v>81.748999999999995</v>
      </c>
      <c r="F55" s="46">
        <v>51.438000000000002</v>
      </c>
      <c r="G55" s="46">
        <v>106.01600000000001</v>
      </c>
      <c r="H55" s="74">
        <v>122.71299999999999</v>
      </c>
      <c r="I55" s="74">
        <v>157.381</v>
      </c>
      <c r="J55" s="74">
        <v>310.16699999999997</v>
      </c>
      <c r="K55" s="74">
        <v>464.041</v>
      </c>
      <c r="L55" s="74">
        <v>488.75799999999998</v>
      </c>
      <c r="M55" s="46">
        <v>445.37099999999998</v>
      </c>
      <c r="N55" s="96"/>
      <c r="O55" s="103">
        <v>-0.24311194895591651</v>
      </c>
      <c r="P55" s="103">
        <v>0.42060344492398594</v>
      </c>
    </row>
    <row r="56" spans="1:16">
      <c r="A56" s="108" t="s">
        <v>127</v>
      </c>
      <c r="B56" s="180">
        <v>4856.4970000000003</v>
      </c>
      <c r="C56" s="81">
        <v>5290.3410000000003</v>
      </c>
      <c r="D56" s="81">
        <v>5561.3459999999995</v>
      </c>
      <c r="E56" s="81">
        <v>6030.8559999999998</v>
      </c>
      <c r="F56" s="46">
        <v>6237.01</v>
      </c>
      <c r="G56" s="46">
        <v>6502.1639999999998</v>
      </c>
      <c r="H56" s="74">
        <v>6665.5140000000001</v>
      </c>
      <c r="I56" s="74">
        <v>7237.8779999999997</v>
      </c>
      <c r="J56" s="74">
        <v>7747.0770000000002</v>
      </c>
      <c r="K56" s="74">
        <v>7736.8209999999999</v>
      </c>
      <c r="L56" s="74">
        <v>7806.607</v>
      </c>
      <c r="M56" s="46">
        <v>7445.2120000000004</v>
      </c>
      <c r="N56" s="96"/>
      <c r="O56" s="103">
        <v>-8.2006812037258098E-2</v>
      </c>
      <c r="P56" s="103">
        <v>-0.22134211745692245</v>
      </c>
    </row>
    <row r="57" spans="1:16" ht="15.75" thickBot="1">
      <c r="A57" s="92" t="s">
        <v>133</v>
      </c>
      <c r="B57" s="181">
        <v>5520.0519999999997</v>
      </c>
      <c r="C57" s="110">
        <v>5784.9049999999997</v>
      </c>
      <c r="D57" s="110">
        <v>6140.7749999999996</v>
      </c>
      <c r="E57" s="110">
        <v>6601.5169999999998</v>
      </c>
      <c r="F57" s="72">
        <v>6901.1949999999997</v>
      </c>
      <c r="G57" s="72">
        <v>7211.1790000000001</v>
      </c>
      <c r="H57" s="97">
        <v>7596.8209999999999</v>
      </c>
      <c r="I57" s="97">
        <v>8396.6110000000008</v>
      </c>
      <c r="J57" s="97">
        <v>9100.643</v>
      </c>
      <c r="K57" s="97">
        <v>9326.9359999999997</v>
      </c>
      <c r="L57" s="97">
        <v>9644.0550000000003</v>
      </c>
      <c r="M57" s="72">
        <v>9420.223</v>
      </c>
      <c r="N57" s="96"/>
      <c r="O57" s="150">
        <v>-4.5783465761321938E-2</v>
      </c>
      <c r="P57" s="150">
        <v>-0.20013099180649149</v>
      </c>
    </row>
    <row r="58" spans="1:16" ht="15.75" thickTop="1"/>
    <row r="59" spans="1:16" ht="24.75" customHeight="1">
      <c r="A59" s="326" t="s">
        <v>353</v>
      </c>
      <c r="B59" s="326"/>
      <c r="C59" s="326"/>
      <c r="D59" s="326"/>
      <c r="E59" s="326"/>
      <c r="F59" s="326"/>
      <c r="G59" s="326"/>
      <c r="H59" s="326"/>
      <c r="I59" s="326"/>
      <c r="J59" s="326"/>
      <c r="K59" s="326"/>
      <c r="L59" s="326"/>
      <c r="M59" s="326"/>
      <c r="N59" s="326"/>
      <c r="O59" s="326"/>
      <c r="P59" s="326"/>
    </row>
    <row r="60" spans="1:16">
      <c r="B60" s="173"/>
      <c r="C60" s="173"/>
      <c r="D60" s="173"/>
      <c r="E60" s="173"/>
      <c r="F60" s="173"/>
      <c r="G60" s="173"/>
      <c r="H60" s="173"/>
      <c r="I60" s="173"/>
      <c r="J60" s="173"/>
      <c r="K60" s="173"/>
      <c r="L60" s="173"/>
      <c r="M60" s="173"/>
    </row>
    <row r="61" spans="1:16">
      <c r="B61" s="31"/>
      <c r="C61" s="31"/>
      <c r="D61" s="31"/>
      <c r="E61" s="31"/>
      <c r="F61" s="31"/>
      <c r="G61" s="31"/>
      <c r="H61" s="31"/>
      <c r="I61" s="31"/>
      <c r="J61" s="31"/>
      <c r="K61" s="31"/>
      <c r="L61" s="31"/>
      <c r="M61" s="31"/>
    </row>
  </sheetData>
  <sheetProtection formatCells="0" formatColumns="0" formatRows="0" insertColumns="0" insertRows="0" insertHyperlinks="0" deleteColumns="0" deleteRows="0" sort="0" autoFilter="0" pivotTables="0"/>
  <mergeCells count="2">
    <mergeCell ref="A59:P59"/>
    <mergeCell ref="B1:P1"/>
  </mergeCells>
  <conditionalFormatting sqref="B61:M61">
    <cfRule type="cellIs" dxfId="1" priority="17" operator="notEqual">
      <formula>0</formula>
    </cfRule>
  </conditionalFormatting>
  <pageMargins left="0.70866141732283472" right="0.70866141732283472" top="0.74803149606299213" bottom="0.74803149606299213" header="0.31496062992125984" footer="0.31496062992125984"/>
  <pageSetup paperSize="9" scale="54" orientation="landscape" r:id="rId1"/>
  <rowBreaks count="1" manualBreakCount="1">
    <brk id="33"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R97"/>
  <sheetViews>
    <sheetView zoomScaleNormal="100" workbookViewId="0">
      <pane ySplit="2" topLeftCell="A3" activePane="bottomLeft" state="frozen"/>
      <selection pane="bottomLeft" activeCell="B4" sqref="B4"/>
    </sheetView>
  </sheetViews>
  <sheetFormatPr defaultColWidth="9.140625" defaultRowHeight="15"/>
  <cols>
    <col min="1" max="1" width="48.5703125" style="18" customWidth="1"/>
    <col min="2" max="4" width="9.7109375" style="18" customWidth="1"/>
    <col min="5" max="5" width="10.85546875" style="18" customWidth="1"/>
    <col min="6" max="7" width="9.7109375" style="18" customWidth="1"/>
    <col min="8" max="9" width="10.7109375" style="18" customWidth="1"/>
    <col min="10" max="15" width="9.7109375" style="18" customWidth="1"/>
    <col min="16" max="16" width="9.140625" style="18"/>
    <col min="17" max="17" width="15.140625" style="18" customWidth="1"/>
    <col min="18" max="16384" width="9.140625" style="18"/>
  </cols>
  <sheetData>
    <row r="1" spans="1:17">
      <c r="A1" s="113" t="s">
        <v>134</v>
      </c>
      <c r="B1" s="113"/>
      <c r="C1" s="113"/>
      <c r="D1" s="113"/>
      <c r="E1" s="113"/>
      <c r="F1" s="113"/>
      <c r="G1" s="113"/>
      <c r="H1" s="113"/>
      <c r="I1" s="113"/>
      <c r="J1" s="113"/>
      <c r="K1" s="113"/>
      <c r="L1" s="113"/>
      <c r="M1" s="113"/>
      <c r="N1" s="113"/>
      <c r="O1" s="113"/>
      <c r="P1" s="113"/>
      <c r="Q1" s="113"/>
    </row>
    <row r="2" spans="1:17" ht="24.75">
      <c r="A2" s="114" t="s">
        <v>33</v>
      </c>
      <c r="B2" s="115" t="s">
        <v>558</v>
      </c>
      <c r="C2" s="115" t="s">
        <v>502</v>
      </c>
      <c r="D2" s="115" t="s">
        <v>473</v>
      </c>
      <c r="E2" s="115" t="s">
        <v>475</v>
      </c>
      <c r="F2" s="115" t="s">
        <v>472</v>
      </c>
      <c r="G2" s="115" t="s">
        <v>471</v>
      </c>
      <c r="H2" s="115" t="s">
        <v>470</v>
      </c>
      <c r="I2" s="115" t="s">
        <v>469</v>
      </c>
      <c r="J2" s="87">
        <v>45444</v>
      </c>
      <c r="K2" s="87">
        <v>45352</v>
      </c>
      <c r="L2" s="87">
        <v>45261</v>
      </c>
      <c r="M2" s="87">
        <v>45170</v>
      </c>
      <c r="N2" s="87">
        <v>45078</v>
      </c>
      <c r="O2" s="87">
        <v>44986</v>
      </c>
      <c r="P2" s="115"/>
      <c r="Q2" s="88" t="s">
        <v>559</v>
      </c>
    </row>
    <row r="3" spans="1:17">
      <c r="A3" s="116" t="s">
        <v>347</v>
      </c>
      <c r="B3" s="116"/>
      <c r="C3" s="116"/>
      <c r="D3" s="116"/>
      <c r="E3" s="116"/>
      <c r="F3" s="116"/>
      <c r="G3" s="116"/>
      <c r="H3" s="116"/>
      <c r="I3" s="116"/>
      <c r="J3" s="116"/>
      <c r="K3" s="116"/>
      <c r="L3" s="116"/>
      <c r="M3" s="116"/>
      <c r="N3" s="116"/>
      <c r="O3" s="116"/>
      <c r="P3" s="117"/>
      <c r="Q3" s="117"/>
    </row>
    <row r="4" spans="1:17">
      <c r="A4" s="104" t="s">
        <v>460</v>
      </c>
      <c r="B4" s="185">
        <v>34.384</v>
      </c>
      <c r="C4" s="225">
        <v>34.167999999999999</v>
      </c>
      <c r="D4" s="225">
        <v>37.043999999999997</v>
      </c>
      <c r="E4" s="225">
        <v>37.996000000000002</v>
      </c>
      <c r="F4" s="225">
        <v>47.542000000000002</v>
      </c>
      <c r="G4" s="225">
        <v>47.505000000000003</v>
      </c>
      <c r="H4" s="225">
        <v>56.71</v>
      </c>
      <c r="I4" s="225">
        <v>60.671999999999997</v>
      </c>
      <c r="J4" s="225">
        <v>103.12</v>
      </c>
      <c r="K4" s="225">
        <v>130.41200000000001</v>
      </c>
      <c r="L4" s="225">
        <v>135.15100000000001</v>
      </c>
      <c r="M4" s="225">
        <v>121.797</v>
      </c>
      <c r="N4" s="225">
        <v>102.613</v>
      </c>
      <c r="O4" s="225">
        <v>105.483</v>
      </c>
      <c r="P4" s="206"/>
      <c r="Q4" s="207">
        <v>6.3217045188480765E-3</v>
      </c>
    </row>
    <row r="5" spans="1:17">
      <c r="A5" s="38" t="s">
        <v>297</v>
      </c>
      <c r="B5" s="185">
        <v>0</v>
      </c>
      <c r="C5" s="225">
        <v>0</v>
      </c>
      <c r="D5" s="225">
        <v>0</v>
      </c>
      <c r="E5" s="225">
        <v>0</v>
      </c>
      <c r="F5" s="225">
        <v>0</v>
      </c>
      <c r="G5" s="225">
        <v>0</v>
      </c>
      <c r="H5" s="225">
        <v>0</v>
      </c>
      <c r="I5" s="225">
        <v>4.7E-2</v>
      </c>
      <c r="J5" s="225">
        <v>4.8000000000000001E-2</v>
      </c>
      <c r="K5" s="225">
        <v>4.5999999999999999E-2</v>
      </c>
      <c r="L5" s="225">
        <v>4.3999999999999997E-2</v>
      </c>
      <c r="M5" s="225">
        <v>4.4999999999999998E-2</v>
      </c>
      <c r="N5" s="225">
        <v>4.2000000000000003E-2</v>
      </c>
      <c r="O5" s="225">
        <v>0.04</v>
      </c>
      <c r="P5" s="206"/>
      <c r="Q5" s="207" t="s">
        <v>378</v>
      </c>
    </row>
    <row r="6" spans="1:17">
      <c r="A6" s="104" t="s">
        <v>9</v>
      </c>
      <c r="B6" s="185">
        <v>16.437000000000001</v>
      </c>
      <c r="C6" s="225">
        <v>16.748999999999999</v>
      </c>
      <c r="D6" s="225">
        <v>16.829999999999998</v>
      </c>
      <c r="E6" s="225">
        <v>19.433999999999997</v>
      </c>
      <c r="F6" s="225">
        <v>26.044</v>
      </c>
      <c r="G6" s="225">
        <v>26.37</v>
      </c>
      <c r="H6" s="225">
        <v>26.349</v>
      </c>
      <c r="I6" s="225">
        <v>30.501999999999999</v>
      </c>
      <c r="J6" s="225">
        <v>30.216000000000001</v>
      </c>
      <c r="K6" s="225">
        <v>32.783999999999999</v>
      </c>
      <c r="L6" s="225">
        <v>37.822000000000003</v>
      </c>
      <c r="M6" s="225">
        <v>36.759</v>
      </c>
      <c r="N6" s="225">
        <v>49.902999999999999</v>
      </c>
      <c r="O6" s="225">
        <v>54.88</v>
      </c>
      <c r="P6" s="206"/>
      <c r="Q6" s="207">
        <v>-1.8627977789718649E-2</v>
      </c>
    </row>
    <row r="7" spans="1:17">
      <c r="A7" s="104" t="s">
        <v>106</v>
      </c>
      <c r="B7" s="185">
        <v>38.817</v>
      </c>
      <c r="C7" s="225">
        <v>41.52</v>
      </c>
      <c r="D7" s="225">
        <v>44.308999999999997</v>
      </c>
      <c r="E7" s="225">
        <v>48.045999999999999</v>
      </c>
      <c r="F7" s="225">
        <v>73.650000000000006</v>
      </c>
      <c r="G7" s="225">
        <v>76.320999999999998</v>
      </c>
      <c r="H7" s="225">
        <v>78.552000000000007</v>
      </c>
      <c r="I7" s="225">
        <v>108.943</v>
      </c>
      <c r="J7" s="225">
        <v>110.34399999999999</v>
      </c>
      <c r="K7" s="225">
        <v>132.10400000000001</v>
      </c>
      <c r="L7" s="225">
        <v>139.453</v>
      </c>
      <c r="M7" s="225">
        <v>143.96</v>
      </c>
      <c r="N7" s="225">
        <v>157.995</v>
      </c>
      <c r="O7" s="225">
        <v>166.101</v>
      </c>
      <c r="P7" s="206"/>
      <c r="Q7" s="207">
        <v>-6.510115606936423E-2</v>
      </c>
    </row>
    <row r="8" spans="1:17">
      <c r="A8" s="104" t="s">
        <v>107</v>
      </c>
      <c r="B8" s="185">
        <v>28.643000000000001</v>
      </c>
      <c r="C8" s="225">
        <v>28.96</v>
      </c>
      <c r="D8" s="225">
        <v>28.585000000000001</v>
      </c>
      <c r="E8" s="225">
        <v>28.71</v>
      </c>
      <c r="F8" s="225">
        <v>41.277999999999999</v>
      </c>
      <c r="G8" s="225">
        <v>40.183999999999997</v>
      </c>
      <c r="H8" s="225">
        <v>40.478000000000002</v>
      </c>
      <c r="I8" s="225">
        <v>48.231999999999999</v>
      </c>
      <c r="J8" s="225">
        <v>49.843000000000004</v>
      </c>
      <c r="K8" s="225">
        <v>51.871000000000002</v>
      </c>
      <c r="L8" s="225">
        <v>52.98</v>
      </c>
      <c r="M8" s="225">
        <v>55.823999999999998</v>
      </c>
      <c r="N8" s="225">
        <v>60.537999999999997</v>
      </c>
      <c r="O8" s="225">
        <v>62.682000000000002</v>
      </c>
      <c r="P8" s="206"/>
      <c r="Q8" s="207">
        <v>-1.0946132596685089E-2</v>
      </c>
    </row>
    <row r="9" spans="1:17" ht="15.75" thickBot="1">
      <c r="A9" s="118" t="s">
        <v>109</v>
      </c>
      <c r="B9" s="186">
        <v>118.28100000000001</v>
      </c>
      <c r="C9" s="226">
        <v>121.39700000000001</v>
      </c>
      <c r="D9" s="226">
        <v>126.768</v>
      </c>
      <c r="E9" s="226">
        <v>134.18599999999998</v>
      </c>
      <c r="F9" s="226">
        <v>188.51400000000001</v>
      </c>
      <c r="G9" s="226">
        <v>190.38</v>
      </c>
      <c r="H9" s="226">
        <v>202.089</v>
      </c>
      <c r="I9" s="226">
        <v>248.39599999999999</v>
      </c>
      <c r="J9" s="226">
        <v>293.57100000000003</v>
      </c>
      <c r="K9" s="226">
        <v>347.21699999999998</v>
      </c>
      <c r="L9" s="226">
        <v>365.45</v>
      </c>
      <c r="M9" s="226">
        <v>358.38499999999999</v>
      </c>
      <c r="N9" s="226">
        <v>371.09100000000001</v>
      </c>
      <c r="O9" s="226">
        <v>389.18599999999998</v>
      </c>
      <c r="P9" s="126"/>
      <c r="Q9" s="208">
        <v>-2.5667850111617253E-2</v>
      </c>
    </row>
    <row r="10" spans="1:17" ht="15.75" thickTop="1">
      <c r="A10" s="118" t="s">
        <v>461</v>
      </c>
      <c r="B10" s="312"/>
      <c r="C10" s="312"/>
      <c r="D10" s="312"/>
      <c r="E10" s="312"/>
      <c r="F10" s="312"/>
      <c r="G10" s="312"/>
      <c r="H10" s="312"/>
      <c r="I10" s="312"/>
      <c r="J10" s="274"/>
      <c r="K10" s="274"/>
      <c r="L10" s="274"/>
      <c r="M10" s="274"/>
      <c r="N10" s="274"/>
      <c r="O10" s="274"/>
      <c r="P10" s="126"/>
      <c r="Q10" s="209"/>
    </row>
    <row r="11" spans="1:17">
      <c r="A11" s="119" t="s">
        <v>102</v>
      </c>
      <c r="B11" s="185">
        <v>118.28100000000001</v>
      </c>
      <c r="C11" s="225">
        <v>121.39700000000001</v>
      </c>
      <c r="D11" s="225">
        <v>126.768</v>
      </c>
      <c r="E11" s="225">
        <v>134.18599999999998</v>
      </c>
      <c r="F11" s="225">
        <v>188.322</v>
      </c>
      <c r="G11" s="225">
        <v>190.185</v>
      </c>
      <c r="H11" s="225">
        <v>201.893</v>
      </c>
      <c r="I11" s="225">
        <v>248.2</v>
      </c>
      <c r="J11" s="225">
        <v>293.37599999999998</v>
      </c>
      <c r="K11" s="225">
        <v>347.02100000000002</v>
      </c>
      <c r="L11" s="225">
        <v>364.93</v>
      </c>
      <c r="M11" s="225">
        <v>357.87799999999999</v>
      </c>
      <c r="N11" s="225">
        <v>370.56200000000001</v>
      </c>
      <c r="O11" s="225">
        <v>388.60599999999999</v>
      </c>
      <c r="P11" s="126"/>
      <c r="Q11" s="207">
        <v>-2.5667850111617253E-2</v>
      </c>
    </row>
    <row r="12" spans="1:17">
      <c r="A12" s="119" t="s">
        <v>114</v>
      </c>
      <c r="B12" s="185">
        <v>0</v>
      </c>
      <c r="C12" s="225">
        <v>0</v>
      </c>
      <c r="D12" s="225">
        <v>0</v>
      </c>
      <c r="E12" s="225">
        <v>0</v>
      </c>
      <c r="F12" s="225">
        <v>0.19200000000000728</v>
      </c>
      <c r="G12" s="225">
        <v>0.1950000000000216</v>
      </c>
      <c r="H12" s="225">
        <v>0.19599999999999795</v>
      </c>
      <c r="I12" s="225">
        <v>0.19600000000000001</v>
      </c>
      <c r="J12" s="225">
        <v>0.19500000000005002</v>
      </c>
      <c r="K12" s="225">
        <v>0.19599999999996953</v>
      </c>
      <c r="L12" s="225">
        <v>0.51999999999998181</v>
      </c>
      <c r="M12" s="225">
        <v>0.507000000000005</v>
      </c>
      <c r="N12" s="225">
        <v>0.52899999999999636</v>
      </c>
      <c r="O12" s="225">
        <v>0.57999999999998408</v>
      </c>
      <c r="P12" s="126"/>
      <c r="Q12" s="207" t="e">
        <v>#DIV/0!</v>
      </c>
    </row>
    <row r="13" spans="1:17" ht="15.75" thickBot="1">
      <c r="A13" s="118" t="s">
        <v>135</v>
      </c>
      <c r="B13" s="186">
        <v>118.28100000000001</v>
      </c>
      <c r="C13" s="226">
        <v>121.39700000000001</v>
      </c>
      <c r="D13" s="226">
        <v>126.768</v>
      </c>
      <c r="E13" s="226">
        <v>134.18599999999998</v>
      </c>
      <c r="F13" s="226">
        <v>188.51400000000001</v>
      </c>
      <c r="G13" s="226">
        <v>190.38</v>
      </c>
      <c r="H13" s="226">
        <v>202.089</v>
      </c>
      <c r="I13" s="226">
        <v>248.39599999999999</v>
      </c>
      <c r="J13" s="226">
        <v>293.57100000000003</v>
      </c>
      <c r="K13" s="226">
        <v>347.21699999999998</v>
      </c>
      <c r="L13" s="226">
        <v>365.45</v>
      </c>
      <c r="M13" s="226">
        <v>358.38499999999999</v>
      </c>
      <c r="N13" s="226">
        <v>371.09100000000001</v>
      </c>
      <c r="O13" s="226">
        <v>389.18599999999998</v>
      </c>
      <c r="P13" s="210"/>
      <c r="Q13" s="208">
        <v>-2.5667850111617253E-2</v>
      </c>
    </row>
    <row r="14" spans="1:17" ht="15.75" thickTop="1">
      <c r="A14" s="120"/>
      <c r="B14" s="120"/>
      <c r="C14" s="120"/>
      <c r="D14" s="120"/>
      <c r="E14" s="120"/>
      <c r="F14" s="120"/>
      <c r="G14" s="120"/>
      <c r="H14" s="120"/>
      <c r="I14" s="120"/>
      <c r="J14" s="120"/>
      <c r="K14" s="120"/>
      <c r="L14" s="120"/>
      <c r="M14" s="120"/>
      <c r="N14" s="120"/>
      <c r="O14" s="120"/>
      <c r="P14" s="126"/>
      <c r="Q14" s="126"/>
    </row>
    <row r="15" spans="1:17">
      <c r="A15" s="121" t="s">
        <v>348</v>
      </c>
      <c r="B15" s="121"/>
      <c r="C15" s="121"/>
      <c r="D15" s="121"/>
      <c r="E15" s="121"/>
      <c r="F15" s="121"/>
      <c r="G15" s="121"/>
      <c r="H15" s="121"/>
      <c r="I15" s="121"/>
      <c r="J15" s="121"/>
      <c r="K15" s="121"/>
      <c r="L15" s="121"/>
      <c r="M15" s="121"/>
      <c r="N15" s="121"/>
      <c r="O15" s="121"/>
      <c r="P15" s="127"/>
      <c r="Q15" s="127"/>
    </row>
    <row r="16" spans="1:17">
      <c r="A16" s="104" t="s">
        <v>460</v>
      </c>
      <c r="B16" s="187">
        <v>2.0437994416007443</v>
      </c>
      <c r="C16" s="227">
        <v>2.1200245844064622</v>
      </c>
      <c r="D16" s="227">
        <v>2.0213529856386998</v>
      </c>
      <c r="E16" s="227">
        <v>1.9312541123832083</v>
      </c>
      <c r="F16" s="227">
        <v>1.3093264902612427</v>
      </c>
      <c r="G16" s="227">
        <v>1.2430270497842333</v>
      </c>
      <c r="H16" s="227">
        <v>0.98368894374889793</v>
      </c>
      <c r="I16" s="227">
        <v>0.91004087552742619</v>
      </c>
      <c r="J16" s="227">
        <v>0.99070985259891386</v>
      </c>
      <c r="K16" s="227">
        <v>0.86334079685918474</v>
      </c>
      <c r="L16" s="227">
        <v>0.89736477115117896</v>
      </c>
      <c r="M16" s="227">
        <v>1.0336005794906409</v>
      </c>
      <c r="N16" s="227">
        <v>1.2915132728783731</v>
      </c>
      <c r="O16" s="227">
        <v>1.0769552806850617</v>
      </c>
      <c r="P16" s="211"/>
      <c r="Q16" s="207">
        <v>-7.6225142805717905E-2</v>
      </c>
    </row>
    <row r="17" spans="1:17">
      <c r="A17" s="38" t="s">
        <v>297</v>
      </c>
      <c r="B17" s="187">
        <v>0</v>
      </c>
      <c r="C17" s="227">
        <v>0</v>
      </c>
      <c r="D17" s="227">
        <v>0</v>
      </c>
      <c r="E17" s="227">
        <v>0</v>
      </c>
      <c r="F17" s="227">
        <v>0</v>
      </c>
      <c r="G17" s="227">
        <v>0</v>
      </c>
      <c r="H17" s="227">
        <v>0</v>
      </c>
      <c r="I17" s="227">
        <v>336.51063829787233</v>
      </c>
      <c r="J17" s="227">
        <v>357.29166666666669</v>
      </c>
      <c r="K17" s="227">
        <v>335.91304347826087</v>
      </c>
      <c r="L17" s="227">
        <v>369.75</v>
      </c>
      <c r="M17" s="227">
        <v>361.95555555555558</v>
      </c>
      <c r="N17" s="227">
        <v>0</v>
      </c>
      <c r="O17" s="227">
        <v>0</v>
      </c>
      <c r="P17" s="211"/>
      <c r="Q17" s="207" t="s">
        <v>378</v>
      </c>
    </row>
    <row r="18" spans="1:17">
      <c r="A18" s="104" t="s">
        <v>9</v>
      </c>
      <c r="B18" s="187">
        <v>1.0592565553324815</v>
      </c>
      <c r="C18" s="227">
        <v>1.0744522061018569</v>
      </c>
      <c r="D18" s="227">
        <v>0.96221033868092687</v>
      </c>
      <c r="E18" s="227">
        <v>0.78472936818275363</v>
      </c>
      <c r="F18" s="227">
        <v>0.82414375671939799</v>
      </c>
      <c r="G18" s="227">
        <v>0.75783086841107317</v>
      </c>
      <c r="H18" s="227">
        <v>0.65900034156894005</v>
      </c>
      <c r="I18" s="227">
        <v>0.58635499311520556</v>
      </c>
      <c r="J18" s="227">
        <v>0.77778888111655176</v>
      </c>
      <c r="K18" s="227">
        <v>0.74140788020130111</v>
      </c>
      <c r="L18" s="227">
        <v>0.71447934938606283</v>
      </c>
      <c r="M18" s="227">
        <v>0.73237972814046992</v>
      </c>
      <c r="N18" s="227">
        <v>0.74550868086989763</v>
      </c>
      <c r="O18" s="227">
        <v>0.66689830477479295</v>
      </c>
      <c r="P18" s="126"/>
      <c r="Q18" s="207">
        <v>-1.5195650769375346E-2</v>
      </c>
    </row>
    <row r="19" spans="1:17">
      <c r="A19" s="104" t="s">
        <v>106</v>
      </c>
      <c r="B19" s="187">
        <v>0.81469459257541799</v>
      </c>
      <c r="C19" s="227">
        <v>0.79910886319845853</v>
      </c>
      <c r="D19" s="227">
        <v>0.72499943578054116</v>
      </c>
      <c r="E19" s="227">
        <v>0.63249037360807581</v>
      </c>
      <c r="F19" s="227">
        <v>0.60624575695858796</v>
      </c>
      <c r="G19" s="227">
        <v>0.56571585802072821</v>
      </c>
      <c r="H19" s="227">
        <v>0.56870608004888479</v>
      </c>
      <c r="I19" s="227">
        <v>0.48240823182765297</v>
      </c>
      <c r="J19" s="227">
        <v>0.67440005800043501</v>
      </c>
      <c r="K19" s="227">
        <v>0.62132865015442373</v>
      </c>
      <c r="L19" s="227">
        <v>0.49882039109951021</v>
      </c>
      <c r="M19" s="227">
        <v>0.48516254515143098</v>
      </c>
      <c r="N19" s="227">
        <v>0.51194025127377452</v>
      </c>
      <c r="O19" s="227">
        <v>0.48459070083864636</v>
      </c>
      <c r="P19" s="126"/>
      <c r="Q19" s="207">
        <v>1.5585729376959456E-2</v>
      </c>
    </row>
    <row r="20" spans="1:17">
      <c r="A20" s="104" t="s">
        <v>107</v>
      </c>
      <c r="B20" s="187">
        <v>1.1819990922738539</v>
      </c>
      <c r="C20" s="227">
        <v>1.1505870165745857</v>
      </c>
      <c r="D20" s="227">
        <v>1.0418051425572852</v>
      </c>
      <c r="E20" s="227">
        <v>0.91414141414141414</v>
      </c>
      <c r="F20" s="227">
        <v>0.8257183003052474</v>
      </c>
      <c r="G20" s="227">
        <v>0.79964662552259602</v>
      </c>
      <c r="H20" s="227">
        <v>0.76446464746281928</v>
      </c>
      <c r="I20" s="227">
        <v>0.71093879582020236</v>
      </c>
      <c r="J20" s="227">
        <v>0.66884015809642272</v>
      </c>
      <c r="K20" s="227">
        <v>0.63505619710435501</v>
      </c>
      <c r="L20" s="227">
        <v>0.6249150622876557</v>
      </c>
      <c r="M20" s="227">
        <v>0.63854256233877904</v>
      </c>
      <c r="N20" s="227">
        <v>0.59739337275760684</v>
      </c>
      <c r="O20" s="227">
        <v>0.5930570179636897</v>
      </c>
      <c r="P20" s="126"/>
      <c r="Q20" s="207">
        <v>3.1412075699268183E-2</v>
      </c>
    </row>
    <row r="21" spans="1:17">
      <c r="A21" s="114" t="s">
        <v>136</v>
      </c>
      <c r="B21" s="188">
        <v>1.4932406726355036</v>
      </c>
      <c r="C21" s="228">
        <v>1.4794517162697596</v>
      </c>
      <c r="D21" s="228">
        <v>1.3925044175186168</v>
      </c>
      <c r="E21" s="228">
        <v>1.2399356117627771</v>
      </c>
      <c r="F21" s="228">
        <v>0.96281973752612537</v>
      </c>
      <c r="G21" s="228">
        <v>0.91004832440382388</v>
      </c>
      <c r="H21" s="228">
        <v>0.81603649877034379</v>
      </c>
      <c r="I21" s="228">
        <v>0.70757983220341714</v>
      </c>
      <c r="J21" s="228">
        <v>0.85356334533158817</v>
      </c>
      <c r="K21" s="228">
        <v>0.77005138017583952</v>
      </c>
      <c r="L21" s="228">
        <v>0.73112925766585368</v>
      </c>
      <c r="M21" s="228">
        <v>0.76597052626872841</v>
      </c>
      <c r="N21" s="228">
        <v>0.73580399501298033</v>
      </c>
      <c r="O21" s="228">
        <v>0.68789725325908502</v>
      </c>
      <c r="P21" s="211"/>
      <c r="Q21" s="207">
        <v>1.3788956365744065E-2</v>
      </c>
    </row>
    <row r="22" spans="1:17">
      <c r="A22" s="114" t="s">
        <v>137</v>
      </c>
      <c r="B22" s="188">
        <v>1.4932406726355036</v>
      </c>
      <c r="C22" s="228">
        <v>1.4794517162697596</v>
      </c>
      <c r="D22" s="228">
        <v>1.3925044175186168</v>
      </c>
      <c r="E22" s="228">
        <v>1.2399356117627771</v>
      </c>
      <c r="F22" s="228">
        <v>0.96281973752612537</v>
      </c>
      <c r="G22" s="228">
        <v>0.91004832440382388</v>
      </c>
      <c r="H22" s="228">
        <v>0.81603649877034379</v>
      </c>
      <c r="I22" s="228">
        <v>0.70757983220341714</v>
      </c>
      <c r="J22" s="228">
        <v>0.85366085467411223</v>
      </c>
      <c r="K22" s="228">
        <v>0.77018103697432916</v>
      </c>
      <c r="L22" s="228">
        <v>0.73124128742722883</v>
      </c>
      <c r="M22" s="228">
        <v>0.7660368900022777</v>
      </c>
      <c r="N22" s="228">
        <v>0.77513469734534213</v>
      </c>
      <c r="O22" s="228">
        <v>0.68596032786439143</v>
      </c>
      <c r="P22" s="211"/>
      <c r="Q22" s="207">
        <v>1.3788956365744065E-2</v>
      </c>
    </row>
    <row r="23" spans="1:17">
      <c r="A23" s="122"/>
      <c r="B23" s="122"/>
      <c r="C23" s="122"/>
      <c r="D23" s="122"/>
      <c r="E23" s="122"/>
      <c r="F23" s="122"/>
      <c r="G23" s="122"/>
      <c r="H23" s="122"/>
      <c r="I23" s="122"/>
      <c r="J23" s="122"/>
      <c r="K23" s="122"/>
      <c r="L23" s="122"/>
      <c r="M23" s="122"/>
      <c r="N23" s="122"/>
      <c r="O23" s="122"/>
      <c r="P23" s="126"/>
      <c r="Q23" s="126"/>
    </row>
    <row r="24" spans="1:17">
      <c r="A24" s="121" t="s">
        <v>349</v>
      </c>
      <c r="B24" s="121"/>
      <c r="C24" s="121"/>
      <c r="D24" s="121"/>
      <c r="E24" s="121"/>
      <c r="F24" s="121"/>
      <c r="G24" s="121"/>
      <c r="H24" s="121"/>
      <c r="I24" s="121"/>
      <c r="J24" s="121"/>
      <c r="K24" s="121"/>
      <c r="L24" s="121"/>
      <c r="M24" s="121"/>
      <c r="N24" s="121"/>
      <c r="O24" s="121"/>
      <c r="P24" s="131"/>
      <c r="Q24" s="131"/>
    </row>
    <row r="25" spans="1:17">
      <c r="A25" s="104" t="s">
        <v>460</v>
      </c>
      <c r="B25" s="187">
        <v>0.92676826430898096</v>
      </c>
      <c r="C25" s="227">
        <v>0.92094942636384924</v>
      </c>
      <c r="D25" s="227">
        <v>0.93332253536335164</v>
      </c>
      <c r="E25" s="227">
        <v>0.48668538253972582</v>
      </c>
      <c r="F25" s="227">
        <v>0.93794960245677506</v>
      </c>
      <c r="G25" s="227">
        <v>0.92916535101568254</v>
      </c>
      <c r="H25" s="227">
        <v>0.86864750484923292</v>
      </c>
      <c r="I25" s="227">
        <v>0.86232529008438819</v>
      </c>
      <c r="J25" s="227">
        <v>0.8159522885958107</v>
      </c>
      <c r="K25" s="227">
        <v>0.82570622335367916</v>
      </c>
      <c r="L25" s="227">
        <v>0.80584007654253231</v>
      </c>
      <c r="M25" s="227">
        <v>0.69176695257066656</v>
      </c>
      <c r="N25" s="227">
        <v>0.67137270238560809</v>
      </c>
      <c r="O25" s="227">
        <v>0.69236917221693628</v>
      </c>
      <c r="P25" s="126"/>
      <c r="Q25" s="207">
        <v>5.8188379451317163E-3</v>
      </c>
    </row>
    <row r="26" spans="1:17">
      <c r="A26" s="38" t="s">
        <v>297</v>
      </c>
      <c r="B26" s="187">
        <v>0</v>
      </c>
      <c r="C26" s="227">
        <v>0</v>
      </c>
      <c r="D26" s="227">
        <v>0</v>
      </c>
      <c r="E26" s="227">
        <v>0</v>
      </c>
      <c r="F26" s="227">
        <v>0</v>
      </c>
      <c r="G26" s="227">
        <v>0</v>
      </c>
      <c r="H26" s="227">
        <v>0</v>
      </c>
      <c r="I26" s="227">
        <v>0</v>
      </c>
      <c r="J26" s="227">
        <v>0</v>
      </c>
      <c r="K26" s="227">
        <v>0</v>
      </c>
      <c r="L26" s="227">
        <v>0</v>
      </c>
      <c r="M26" s="227">
        <v>0.1111111111111111</v>
      </c>
      <c r="N26" s="227">
        <v>7.1428571428571425E-2</v>
      </c>
      <c r="O26" s="227">
        <v>0</v>
      </c>
      <c r="P26" s="126"/>
      <c r="Q26" s="207" t="s">
        <v>378</v>
      </c>
    </row>
    <row r="27" spans="1:17">
      <c r="A27" s="104" t="s">
        <v>9</v>
      </c>
      <c r="B27" s="187">
        <v>0.80738577599318606</v>
      </c>
      <c r="C27" s="227">
        <v>0.82118335423010325</v>
      </c>
      <c r="D27" s="227">
        <v>0.82150920974450381</v>
      </c>
      <c r="E27" s="227">
        <v>0.84616176167935786</v>
      </c>
      <c r="F27" s="227">
        <v>0.8290969129166027</v>
      </c>
      <c r="G27" s="227">
        <v>0.84012135001896093</v>
      </c>
      <c r="H27" s="227">
        <v>0.83809632244107934</v>
      </c>
      <c r="I27" s="227">
        <v>0.85823880401285157</v>
      </c>
      <c r="J27" s="227">
        <v>0.86945804603444254</v>
      </c>
      <c r="K27" s="227">
        <v>0.88501902540812571</v>
      </c>
      <c r="L27" s="227">
        <v>0.88398979429118163</v>
      </c>
      <c r="M27" s="227">
        <v>0.89475699477613979</v>
      </c>
      <c r="N27" s="227">
        <v>0.82191643028144934</v>
      </c>
      <c r="O27" s="227">
        <v>0.84711884863668785</v>
      </c>
      <c r="P27" s="126"/>
      <c r="Q27" s="207">
        <v>-1.3797578236917185E-2</v>
      </c>
    </row>
    <row r="28" spans="1:17">
      <c r="A28" s="104" t="s">
        <v>106</v>
      </c>
      <c r="B28" s="187">
        <v>0.9193137027591004</v>
      </c>
      <c r="C28" s="227">
        <v>0.92023121387283235</v>
      </c>
      <c r="D28" s="227">
        <v>0.9215283576699993</v>
      </c>
      <c r="E28" s="227">
        <v>0.93735040066604225</v>
      </c>
      <c r="F28" s="227">
        <v>0.93471826205023756</v>
      </c>
      <c r="G28" s="227">
        <v>0.94061922668728137</v>
      </c>
      <c r="H28" s="227">
        <v>0.94319686322436092</v>
      </c>
      <c r="I28" s="227">
        <v>0.95559145608253859</v>
      </c>
      <c r="J28" s="227">
        <v>0.96227252954397158</v>
      </c>
      <c r="K28" s="227">
        <v>0.96303669835886874</v>
      </c>
      <c r="L28" s="227">
        <v>0.9588320079166458</v>
      </c>
      <c r="M28" s="227">
        <v>0.95741178105029179</v>
      </c>
      <c r="N28" s="227">
        <v>0.94828950283236813</v>
      </c>
      <c r="O28" s="227">
        <v>0.95222786136146076</v>
      </c>
      <c r="P28" s="126"/>
      <c r="Q28" s="207">
        <v>-9.1751111373195027E-4</v>
      </c>
    </row>
    <row r="29" spans="1:17">
      <c r="A29" s="104" t="s">
        <v>107</v>
      </c>
      <c r="B29" s="187">
        <v>0.32042732953950354</v>
      </c>
      <c r="C29" s="227">
        <v>0.33957182320441986</v>
      </c>
      <c r="D29" s="227">
        <v>0.34829456008396009</v>
      </c>
      <c r="E29" s="227">
        <v>0.38209683037269243</v>
      </c>
      <c r="F29" s="227">
        <v>0.46642279180192836</v>
      </c>
      <c r="G29" s="227">
        <v>0.48798029066295046</v>
      </c>
      <c r="H29" s="227">
        <v>0.51460052374129162</v>
      </c>
      <c r="I29" s="227">
        <v>0.5975078785868303</v>
      </c>
      <c r="J29" s="227">
        <v>0.62534357883754987</v>
      </c>
      <c r="K29" s="227">
        <v>0.64105184014189043</v>
      </c>
      <c r="L29" s="227">
        <v>0.66102302755756892</v>
      </c>
      <c r="M29" s="227">
        <v>0.66792060762396099</v>
      </c>
      <c r="N29" s="227">
        <v>0.69004592156992306</v>
      </c>
      <c r="O29" s="227">
        <v>0.72931623113493504</v>
      </c>
      <c r="P29" s="126"/>
      <c r="Q29" s="207">
        <v>-1.9144493664916329E-2</v>
      </c>
    </row>
    <row r="30" spans="1:17">
      <c r="A30" s="114" t="s">
        <v>345</v>
      </c>
      <c r="B30" s="188">
        <v>0.76089989093768229</v>
      </c>
      <c r="C30" s="228">
        <v>0.7682479797688575</v>
      </c>
      <c r="D30" s="228">
        <v>0.78243720812823425</v>
      </c>
      <c r="E30" s="228">
        <v>0.80606769707719139</v>
      </c>
      <c r="F30" s="228">
        <v>0.81840075538156321</v>
      </c>
      <c r="G30" s="228">
        <v>0.82830129215253701</v>
      </c>
      <c r="H30" s="228">
        <v>0.82272662044940592</v>
      </c>
      <c r="I30" s="228">
        <v>0.8511449459733651</v>
      </c>
      <c r="J30" s="228">
        <v>0.84394428992146597</v>
      </c>
      <c r="K30" s="228">
        <v>0.85584445898086858</v>
      </c>
      <c r="L30" s="228">
        <v>0.8512399638286795</v>
      </c>
      <c r="M30" s="228">
        <v>0.81557122818390626</v>
      </c>
      <c r="N30" s="228">
        <v>0.81261705193732758</v>
      </c>
      <c r="O30" s="228">
        <v>0.83110399736494034</v>
      </c>
      <c r="P30" s="126"/>
      <c r="Q30" s="207">
        <v>-7.3480888311752146E-3</v>
      </c>
    </row>
    <row r="31" spans="1:17">
      <c r="A31" s="91"/>
      <c r="B31" s="91"/>
      <c r="C31" s="91"/>
      <c r="D31" s="91"/>
      <c r="E31" s="91"/>
      <c r="F31" s="91"/>
      <c r="G31" s="91"/>
      <c r="H31" s="91"/>
      <c r="I31" s="91"/>
      <c r="J31" s="91"/>
      <c r="K31" s="91"/>
      <c r="L31" s="91"/>
      <c r="M31" s="91"/>
      <c r="N31" s="91"/>
      <c r="O31" s="91"/>
      <c r="P31" s="126"/>
      <c r="Q31" s="126"/>
    </row>
    <row r="32" spans="1:17">
      <c r="A32" s="121" t="s">
        <v>350</v>
      </c>
      <c r="B32" s="121"/>
      <c r="C32" s="121"/>
      <c r="D32" s="121"/>
      <c r="E32" s="121"/>
      <c r="F32" s="121"/>
      <c r="G32" s="121"/>
      <c r="H32" s="121"/>
      <c r="I32" s="121"/>
      <c r="J32" s="121"/>
      <c r="K32" s="121"/>
      <c r="L32" s="121"/>
      <c r="M32" s="121"/>
      <c r="N32" s="121"/>
      <c r="O32" s="121"/>
      <c r="P32" s="131"/>
      <c r="Q32" s="131"/>
    </row>
    <row r="33" spans="1:17">
      <c r="A33" s="104" t="s">
        <v>460</v>
      </c>
      <c r="B33" s="187">
        <v>2.9705677059097253</v>
      </c>
      <c r="C33" s="227">
        <v>3.0409740107703116</v>
      </c>
      <c r="D33" s="227">
        <v>2.9546755210020512</v>
      </c>
      <c r="E33" s="227">
        <v>2.4179394949229343</v>
      </c>
      <c r="F33" s="227">
        <v>2.2472760927180175</v>
      </c>
      <c r="G33" s="227">
        <v>2.1721924007999158</v>
      </c>
      <c r="H33" s="227">
        <v>1.8523364485981308</v>
      </c>
      <c r="I33" s="227">
        <v>1.7723661656118144</v>
      </c>
      <c r="J33" s="227">
        <v>1.8066621411947246</v>
      </c>
      <c r="K33" s="227">
        <v>1.6890470202128638</v>
      </c>
      <c r="L33" s="227">
        <v>1.7032048476937112</v>
      </c>
      <c r="M33" s="227">
        <v>1.7253675320613073</v>
      </c>
      <c r="N33" s="227">
        <v>1.9628859752639811</v>
      </c>
      <c r="O33" s="227">
        <v>1.769324452901998</v>
      </c>
      <c r="P33" s="126"/>
      <c r="Q33" s="207">
        <v>-7.04063048605863E-2</v>
      </c>
    </row>
    <row r="34" spans="1:17">
      <c r="A34" s="38" t="s">
        <v>297</v>
      </c>
      <c r="B34" s="187">
        <v>0</v>
      </c>
      <c r="C34" s="227">
        <v>0</v>
      </c>
      <c r="D34" s="227">
        <v>0</v>
      </c>
      <c r="E34" s="227">
        <v>0</v>
      </c>
      <c r="F34" s="227">
        <v>0</v>
      </c>
      <c r="G34" s="227">
        <v>0</v>
      </c>
      <c r="H34" s="227">
        <v>0</v>
      </c>
      <c r="I34" s="227">
        <v>336.51063829787233</v>
      </c>
      <c r="J34" s="227">
        <v>357.29166666666669</v>
      </c>
      <c r="K34" s="227">
        <v>335.91304347826087</v>
      </c>
      <c r="L34" s="227">
        <v>369.75</v>
      </c>
      <c r="M34" s="227">
        <v>362.06666666666666</v>
      </c>
      <c r="N34" s="227">
        <v>7.1428571428571425E-2</v>
      </c>
      <c r="O34" s="227">
        <v>0</v>
      </c>
      <c r="P34" s="126"/>
      <c r="Q34" s="207" t="s">
        <v>378</v>
      </c>
    </row>
    <row r="35" spans="1:17">
      <c r="A35" s="104" t="s">
        <v>9</v>
      </c>
      <c r="B35" s="187">
        <v>1.8666423313256675</v>
      </c>
      <c r="C35" s="227">
        <v>1.8956355603319601</v>
      </c>
      <c r="D35" s="227">
        <v>1.7837195484254307</v>
      </c>
      <c r="E35" s="227">
        <v>1.6308911298621114</v>
      </c>
      <c r="F35" s="227">
        <v>1.6532406696360007</v>
      </c>
      <c r="G35" s="227">
        <v>1.5979522184300341</v>
      </c>
      <c r="H35" s="227">
        <v>1.4970966640100194</v>
      </c>
      <c r="I35" s="227">
        <v>1.4445937971280571</v>
      </c>
      <c r="J35" s="227">
        <v>1.6472469271509942</v>
      </c>
      <c r="K35" s="227">
        <v>1.6264269056094269</v>
      </c>
      <c r="L35" s="227">
        <v>1.5984691436772445</v>
      </c>
      <c r="M35" s="227">
        <v>1.6271367229166098</v>
      </c>
      <c r="N35" s="227">
        <v>1.5674251111513469</v>
      </c>
      <c r="O35" s="227">
        <v>1.5140171534114808</v>
      </c>
      <c r="P35" s="126"/>
      <c r="Q35" s="207">
        <v>-2.8993229006292642E-2</v>
      </c>
    </row>
    <row r="36" spans="1:17">
      <c r="A36" s="104" t="s">
        <v>106</v>
      </c>
      <c r="B36" s="187">
        <v>1.7340082953345184</v>
      </c>
      <c r="C36" s="227">
        <v>1.719340077071291</v>
      </c>
      <c r="D36" s="227">
        <v>1.6465277934505405</v>
      </c>
      <c r="E36" s="227">
        <v>1.5698407742741181</v>
      </c>
      <c r="F36" s="227">
        <v>1.5409640190088254</v>
      </c>
      <c r="G36" s="227">
        <v>1.5063350847080095</v>
      </c>
      <c r="H36" s="227">
        <v>1.5119029432732458</v>
      </c>
      <c r="I36" s="227">
        <v>1.4379996879101915</v>
      </c>
      <c r="J36" s="227">
        <v>1.6366725875444066</v>
      </c>
      <c r="K36" s="227">
        <v>1.5843653485132925</v>
      </c>
      <c r="L36" s="227">
        <v>1.4576523990161561</v>
      </c>
      <c r="M36" s="227">
        <v>1.4425743262017228</v>
      </c>
      <c r="N36" s="227">
        <v>1.4602297541061426</v>
      </c>
      <c r="O36" s="227">
        <v>1.4368185622001071</v>
      </c>
      <c r="P36" s="126"/>
      <c r="Q36" s="207">
        <v>1.4668218263227395E-2</v>
      </c>
    </row>
    <row r="37" spans="1:17">
      <c r="A37" s="104" t="s">
        <v>107</v>
      </c>
      <c r="B37" s="187">
        <v>1.5024264218133574</v>
      </c>
      <c r="C37" s="227">
        <v>1.4901588397790055</v>
      </c>
      <c r="D37" s="227">
        <v>1.3900997026412454</v>
      </c>
      <c r="E37" s="227">
        <v>1.2962382445141065</v>
      </c>
      <c r="F37" s="227">
        <v>1.2921410921071756</v>
      </c>
      <c r="G37" s="227">
        <v>1.2876269161855465</v>
      </c>
      <c r="H37" s="227">
        <v>1.279065171204111</v>
      </c>
      <c r="I37" s="227">
        <v>1.3084466744070327</v>
      </c>
      <c r="J37" s="227">
        <v>1.2941837369339726</v>
      </c>
      <c r="K37" s="227">
        <v>1.2761080372462454</v>
      </c>
      <c r="L37" s="227">
        <v>1.2859380898452246</v>
      </c>
      <c r="M37" s="227">
        <v>1.30646316996274</v>
      </c>
      <c r="N37" s="227">
        <v>1.2874392943275299</v>
      </c>
      <c r="O37" s="227">
        <v>1.3223732490986246</v>
      </c>
      <c r="P37" s="126"/>
      <c r="Q37" s="207">
        <v>1.2267582034351854E-2</v>
      </c>
    </row>
    <row r="38" spans="1:17">
      <c r="A38" s="114" t="s">
        <v>346</v>
      </c>
      <c r="B38" s="188">
        <v>2.2541405635731859</v>
      </c>
      <c r="C38" s="228">
        <v>2.2476996960386169</v>
      </c>
      <c r="D38" s="228">
        <v>2.1749416256468512</v>
      </c>
      <c r="E38" s="228">
        <v>2.0460033088399685</v>
      </c>
      <c r="F38" s="228">
        <v>1.7812204929076887</v>
      </c>
      <c r="G38" s="228">
        <v>1.738349616556361</v>
      </c>
      <c r="H38" s="228">
        <v>1.6387631192197496</v>
      </c>
      <c r="I38" s="228">
        <v>1.5587247781767823</v>
      </c>
      <c r="J38" s="228">
        <v>1.697507635253054</v>
      </c>
      <c r="K38" s="228">
        <v>1.625895839156708</v>
      </c>
      <c r="L38" s="228">
        <v>1.5823692214945333</v>
      </c>
      <c r="M38" s="228">
        <v>1.5815417544526347</v>
      </c>
      <c r="N38" s="228">
        <v>1.5484210469503079</v>
      </c>
      <c r="O38" s="228">
        <v>1.5190012506240254</v>
      </c>
      <c r="P38" s="126"/>
      <c r="Q38" s="207">
        <v>6.4408675345690725E-3</v>
      </c>
    </row>
    <row r="39" spans="1:17">
      <c r="A39" s="91"/>
      <c r="B39" s="91"/>
      <c r="C39" s="91"/>
      <c r="D39" s="91"/>
      <c r="E39" s="91"/>
      <c r="F39" s="91"/>
      <c r="G39" s="91"/>
      <c r="H39" s="91"/>
      <c r="I39" s="91"/>
      <c r="J39" s="91"/>
      <c r="K39" s="91"/>
      <c r="L39" s="91"/>
      <c r="M39" s="91"/>
      <c r="N39" s="91"/>
      <c r="O39" s="91"/>
      <c r="P39" s="123"/>
      <c r="Q39" s="123"/>
    </row>
    <row r="40" spans="1:17">
      <c r="A40" s="121" t="s">
        <v>208</v>
      </c>
      <c r="B40" s="121"/>
      <c r="C40" s="121"/>
      <c r="D40" s="121"/>
      <c r="E40" s="121"/>
      <c r="F40" s="121"/>
      <c r="G40" s="121"/>
      <c r="H40" s="121"/>
      <c r="I40" s="121"/>
      <c r="J40" s="121"/>
      <c r="K40" s="121"/>
      <c r="L40" s="121"/>
      <c r="M40" s="121"/>
      <c r="N40" s="121"/>
      <c r="O40" s="121"/>
      <c r="P40" s="131"/>
      <c r="Q40" s="131"/>
    </row>
    <row r="41" spans="1:17">
      <c r="A41" s="91" t="s">
        <v>209</v>
      </c>
      <c r="B41" s="298">
        <v>1.4404606403113588E-2</v>
      </c>
      <c r="C41" s="299">
        <v>1.3885368847671961E-2</v>
      </c>
      <c r="D41" s="299">
        <v>1.4181217350523478E-2</v>
      </c>
      <c r="E41" s="299">
        <v>1.5650950347066418E-2</v>
      </c>
      <c r="F41" s="299">
        <v>1.7000000000000001E-2</v>
      </c>
      <c r="G41" s="299">
        <v>1.6866878438600203E-2</v>
      </c>
      <c r="H41" s="299">
        <v>1.9304495222708523E-2</v>
      </c>
      <c r="I41" s="299">
        <v>2.5000000000000001E-2</v>
      </c>
      <c r="J41" s="227">
        <v>3.6202957976466478E-2</v>
      </c>
      <c r="K41" s="227">
        <v>3.8958662474932043E-2</v>
      </c>
      <c r="L41" s="227">
        <v>4.4229640001806764E-2</v>
      </c>
      <c r="M41" s="227">
        <v>3.2158099357585256E-2</v>
      </c>
      <c r="N41" s="227">
        <v>2.2198340928238771E-2</v>
      </c>
      <c r="O41" s="227">
        <v>2.3982338026462671E-2</v>
      </c>
      <c r="P41" s="123"/>
      <c r="Q41" s="207">
        <v>5.1923755544162724E-4</v>
      </c>
    </row>
    <row r="42" spans="1:17">
      <c r="A42" s="91" t="s">
        <v>210</v>
      </c>
      <c r="B42" s="298">
        <v>3.7619860656529234E-3</v>
      </c>
      <c r="C42" s="299">
        <v>4.1497953555560416E-3</v>
      </c>
      <c r="D42" s="299">
        <v>4.8861634809837561E-3</v>
      </c>
      <c r="E42" s="299">
        <v>6.9450020943521941E-3</v>
      </c>
      <c r="F42" s="299">
        <v>8.9400851746296636E-3</v>
      </c>
      <c r="G42" s="299">
        <v>7.8947047116711237E-3</v>
      </c>
      <c r="H42" s="299">
        <v>1.100508506497583E-2</v>
      </c>
      <c r="I42" s="299">
        <v>1.100616765408082E-2</v>
      </c>
      <c r="J42" s="227">
        <v>1.053748646818223E-2</v>
      </c>
      <c r="K42" s="227">
        <v>1.0724237306559416E-2</v>
      </c>
      <c r="L42" s="227">
        <v>1.1433370291899487E-2</v>
      </c>
      <c r="M42" s="227">
        <v>1.7347056149249317E-2</v>
      </c>
      <c r="N42" s="227">
        <v>2.0172279350210067E-2</v>
      </c>
      <c r="O42" s="227">
        <v>2.3504708577246118E-2</v>
      </c>
      <c r="P42" s="123"/>
      <c r="Q42" s="207">
        <v>-3.8780928990311825E-4</v>
      </c>
    </row>
    <row r="43" spans="1:17">
      <c r="A43" s="91" t="s">
        <v>463</v>
      </c>
      <c r="B43" s="298">
        <v>9.3832034382065844E-4</v>
      </c>
      <c r="C43" s="299">
        <v>9.8099816759909917E-4</v>
      </c>
      <c r="D43" s="299">
        <v>6.7500519720335749E-4</v>
      </c>
      <c r="E43" s="299">
        <v>1.320757855515079E-3</v>
      </c>
      <c r="F43" s="299">
        <v>1.8034516196666318E-3</v>
      </c>
      <c r="G43" s="299">
        <v>2.2968274808751223E-3</v>
      </c>
      <c r="H43" s="299">
        <v>1.8718325906180329E-3</v>
      </c>
      <c r="I43" s="299">
        <v>2E-3</v>
      </c>
      <c r="J43" s="227">
        <v>1.1776955742976644E-2</v>
      </c>
      <c r="K43" s="227">
        <v>1.1482412482294915E-2</v>
      </c>
      <c r="L43" s="227">
        <v>1.3625366102126576E-2</v>
      </c>
      <c r="M43" s="227">
        <v>1.4230876310838515E-2</v>
      </c>
      <c r="N43" s="227">
        <v>1.9586354667577469E-2</v>
      </c>
      <c r="O43" s="227">
        <v>2.0362187198245528E-2</v>
      </c>
      <c r="P43" s="123"/>
      <c r="Q43" s="207">
        <v>-4.2677823778440723E-5</v>
      </c>
    </row>
    <row r="44" spans="1:17">
      <c r="A44" s="91" t="s">
        <v>211</v>
      </c>
      <c r="B44" s="298">
        <v>5.5622181583360013E-3</v>
      </c>
      <c r="C44" s="299">
        <v>6.4363323006789951E-3</v>
      </c>
      <c r="D44" s="299">
        <v>3.7923520607032295E-3</v>
      </c>
      <c r="E44" s="299">
        <v>3.527455570263674E-3</v>
      </c>
      <c r="F44" s="299">
        <v>5.3998201050839837E-3</v>
      </c>
      <c r="G44" s="299">
        <v>5.9546704581318593E-3</v>
      </c>
      <c r="H44" s="299">
        <v>5.5276630919458359E-3</v>
      </c>
      <c r="I44" s="299">
        <v>7.8267747726854086E-3</v>
      </c>
      <c r="J44" s="227">
        <v>8.5520712786800561E-3</v>
      </c>
      <c r="K44" s="227">
        <v>5.3396183294490092E-2</v>
      </c>
      <c r="L44" s="227">
        <v>5.1783673204345793E-2</v>
      </c>
      <c r="M44" s="227">
        <v>1.0473066979048588E-2</v>
      </c>
      <c r="N44" s="227">
        <v>1.7516984057767793E-2</v>
      </c>
      <c r="O44" s="227">
        <v>2.0476991699357343E-2</v>
      </c>
      <c r="P44" s="123"/>
      <c r="Q44" s="207">
        <v>-8.7411414234299378E-4</v>
      </c>
    </row>
    <row r="45" spans="1:17">
      <c r="A45" s="91" t="s">
        <v>213</v>
      </c>
      <c r="B45" s="298">
        <v>1.3850110384548964E-2</v>
      </c>
      <c r="C45" s="299">
        <v>1.3301924591130129E-2</v>
      </c>
      <c r="D45" s="299">
        <v>1.3157618362737695E-2</v>
      </c>
      <c r="E45" s="299">
        <v>1.2959158919393372E-2</v>
      </c>
      <c r="F45" s="299">
        <v>2.4200370829808405E-2</v>
      </c>
      <c r="G45" s="299">
        <v>2.4008840910249362E-2</v>
      </c>
      <c r="H45" s="299">
        <v>2.3410365252265457E-2</v>
      </c>
      <c r="I45" s="299">
        <v>2.1999999999999999E-2</v>
      </c>
      <c r="J45" s="227">
        <v>3.7461042738106083E-2</v>
      </c>
      <c r="K45" s="227">
        <v>3.9667569170268875E-2</v>
      </c>
      <c r="L45" s="227">
        <v>3.9960697514488747E-2</v>
      </c>
      <c r="M45" s="227">
        <v>2.7735801275410366E-2</v>
      </c>
      <c r="N45" s="227">
        <v>1.5164055195596576E-2</v>
      </c>
      <c r="O45" s="227">
        <v>1.6064014761718887E-2</v>
      </c>
      <c r="P45" s="123"/>
      <c r="Q45" s="207">
        <v>5.4818579341883548E-4</v>
      </c>
    </row>
    <row r="46" spans="1:17">
      <c r="A46" s="91" t="s">
        <v>212</v>
      </c>
      <c r="B46" s="298">
        <v>1.3209677199054347E-2</v>
      </c>
      <c r="C46" s="299">
        <v>1.4285035024547808E-2</v>
      </c>
      <c r="D46" s="299">
        <v>1.4777405717702261E-2</v>
      </c>
      <c r="E46" s="299">
        <v>1.5951061960409026E-2</v>
      </c>
      <c r="F46" s="299">
        <v>2.3509347410568655E-2</v>
      </c>
      <c r="G46" s="299">
        <v>2.4319490870515464E-2</v>
      </c>
      <c r="H46" s="299">
        <v>2.4882282780994414E-2</v>
      </c>
      <c r="I46" s="299">
        <v>3.3404511639509339E-2</v>
      </c>
      <c r="J46" s="227">
        <v>3.4615602610935138E-2</v>
      </c>
      <c r="K46" s="227">
        <v>3.9962623358194511E-2</v>
      </c>
      <c r="L46" s="227">
        <v>4.2302029376663212E-2</v>
      </c>
      <c r="M46" s="227">
        <v>4.3751972680053916E-2</v>
      </c>
      <c r="N46" s="227">
        <v>4.7547944279560772E-2</v>
      </c>
      <c r="O46" s="227">
        <v>4.9800721869114301E-2</v>
      </c>
      <c r="P46" s="123"/>
      <c r="Q46" s="207">
        <v>-1.0753578254934608E-3</v>
      </c>
    </row>
    <row r="47" spans="1:17">
      <c r="A47" s="91" t="s">
        <v>214</v>
      </c>
      <c r="B47" s="298">
        <v>2.4385042427963473E-2</v>
      </c>
      <c r="C47" s="299">
        <v>2.4604854642957946E-2</v>
      </c>
      <c r="D47" s="299">
        <v>3.2847549649949993E-2</v>
      </c>
      <c r="E47" s="299">
        <v>3.1039494609145978E-2</v>
      </c>
      <c r="F47" s="299">
        <v>3.4131521558583518E-2</v>
      </c>
      <c r="G47" s="299">
        <v>3.472590477649163E-2</v>
      </c>
      <c r="H47" s="299">
        <v>5.0999999999999997E-2</v>
      </c>
      <c r="I47" s="299">
        <v>5.1168820902011934E-2</v>
      </c>
      <c r="J47" s="227">
        <v>5.0052382585491668E-2</v>
      </c>
      <c r="K47" s="227">
        <v>5.2965119106675736E-2</v>
      </c>
      <c r="L47" s="227">
        <v>6.0218149177028092E-2</v>
      </c>
      <c r="M47" s="227">
        <v>9.726149099871903E-2</v>
      </c>
      <c r="N47" s="227">
        <v>9.5222013639617659E-2</v>
      </c>
      <c r="O47" s="227">
        <v>9.3759425131716034E-2</v>
      </c>
      <c r="P47" s="123"/>
      <c r="Q47" s="207">
        <v>-2.198122149944734E-4</v>
      </c>
    </row>
    <row r="48" spans="1:17">
      <c r="A48" s="91" t="s">
        <v>215</v>
      </c>
      <c r="B48" s="298">
        <v>6.8593344443281196E-4</v>
      </c>
      <c r="C48" s="299">
        <v>1.0571129698117774E-3</v>
      </c>
      <c r="D48" s="299">
        <v>1.0229142374735798E-3</v>
      </c>
      <c r="E48" s="299">
        <v>1.2932138866610977E-3</v>
      </c>
      <c r="F48" s="299">
        <v>2E-3</v>
      </c>
      <c r="G48" s="299">
        <v>2.0839926962872794E-3</v>
      </c>
      <c r="H48" s="299">
        <v>3.0000000000000001E-3</v>
      </c>
      <c r="I48" s="299">
        <v>3.6396036333224383E-3</v>
      </c>
      <c r="J48" s="227">
        <v>3.5425225438324402E-3</v>
      </c>
      <c r="K48" s="227">
        <v>3.3608270150584222E-3</v>
      </c>
      <c r="L48" s="227">
        <v>3.9358785601868304E-3</v>
      </c>
      <c r="M48" s="227">
        <v>4.6240587887300139E-3</v>
      </c>
      <c r="N48" s="227">
        <v>7.3785959624757327E-3</v>
      </c>
      <c r="O48" s="227">
        <v>8.8890107637996877E-3</v>
      </c>
      <c r="P48" s="123"/>
      <c r="Q48" s="207">
        <v>-3.7117952537896539E-4</v>
      </c>
    </row>
    <row r="49" spans="1:17">
      <c r="A49" s="91"/>
      <c r="B49" s="91"/>
      <c r="C49" s="91"/>
      <c r="D49" s="91"/>
      <c r="E49" s="91"/>
      <c r="F49" s="91"/>
      <c r="G49" s="91"/>
      <c r="H49" s="91"/>
      <c r="I49" s="91"/>
      <c r="J49" s="91"/>
      <c r="K49" s="91"/>
      <c r="L49" s="91"/>
      <c r="M49" s="91"/>
      <c r="N49" s="91"/>
      <c r="O49" s="91"/>
      <c r="P49" s="123"/>
      <c r="Q49" s="123"/>
    </row>
    <row r="50" spans="1:17">
      <c r="A50" s="121" t="s">
        <v>351</v>
      </c>
      <c r="B50" s="121"/>
      <c r="C50" s="121"/>
      <c r="D50" s="121"/>
      <c r="E50" s="121"/>
      <c r="F50" s="121"/>
      <c r="G50" s="121"/>
      <c r="H50" s="121"/>
      <c r="I50" s="121"/>
      <c r="J50" s="121"/>
      <c r="K50" s="121"/>
      <c r="L50" s="121"/>
      <c r="M50" s="121"/>
      <c r="N50" s="121"/>
      <c r="O50" s="121"/>
      <c r="P50" s="131"/>
      <c r="Q50" s="131"/>
    </row>
    <row r="51" spans="1:17">
      <c r="A51" s="91" t="s">
        <v>462</v>
      </c>
      <c r="B51" s="187">
        <v>4.4611089267448329E-3</v>
      </c>
      <c r="C51" s="227">
        <v>8.9002344360510546E-3</v>
      </c>
      <c r="D51" s="227">
        <v>9.9077427709905654E-3</v>
      </c>
      <c r="E51" s="227">
        <v>9.9114659187220667E-3</v>
      </c>
      <c r="F51" s="227">
        <v>9.515864657550081E-3</v>
      </c>
      <c r="G51" s="227">
        <v>9.787638773409147E-3</v>
      </c>
      <c r="H51" s="227">
        <v>1.2219283002578888E-2</v>
      </c>
      <c r="I51" s="227">
        <v>1.6115903230336095E-2</v>
      </c>
      <c r="J51" s="227">
        <v>1.1974936599679555E-2</v>
      </c>
      <c r="K51" s="227">
        <v>2.6532483492580149E-2</v>
      </c>
      <c r="L51" s="227">
        <v>2.8067798594942999E-2</v>
      </c>
      <c r="M51" s="227">
        <v>2.2074227494453719E-2</v>
      </c>
      <c r="N51" s="227">
        <v>1.3343509403834464E-2</v>
      </c>
      <c r="O51" s="227">
        <v>1.3384528379595338E-2</v>
      </c>
      <c r="P51" s="128"/>
      <c r="Q51" s="207">
        <v>-4.4391255093062217E-3</v>
      </c>
    </row>
    <row r="52" spans="1:17">
      <c r="A52" s="315" t="s">
        <v>561</v>
      </c>
      <c r="B52" s="187">
        <v>0</v>
      </c>
      <c r="C52" s="227">
        <v>0</v>
      </c>
      <c r="D52" s="227">
        <v>0</v>
      </c>
      <c r="E52" s="227">
        <v>0</v>
      </c>
      <c r="F52" s="227">
        <v>0</v>
      </c>
      <c r="G52" s="227">
        <v>0</v>
      </c>
      <c r="H52" s="227">
        <v>0</v>
      </c>
      <c r="I52" s="227">
        <v>5.696092843889486E-5</v>
      </c>
      <c r="J52" s="227">
        <v>5.8491432832947251E-5</v>
      </c>
      <c r="K52" s="227">
        <v>5.9487707382553807E-5</v>
      </c>
      <c r="L52" s="227">
        <v>5.7697578144157399E-5</v>
      </c>
      <c r="M52" s="227">
        <v>6.0525034499269666E-5</v>
      </c>
      <c r="N52" s="227">
        <v>6.0450268140117964E-5</v>
      </c>
      <c r="O52" s="227">
        <v>5.9891895129291625E-5</v>
      </c>
      <c r="P52" s="128"/>
      <c r="Q52" s="207">
        <v>0</v>
      </c>
    </row>
    <row r="53" spans="1:17">
      <c r="A53" s="91" t="s">
        <v>217</v>
      </c>
      <c r="B53" s="187">
        <v>1.5451482445846786E-3</v>
      </c>
      <c r="C53" s="227">
        <v>2.2816006707404523E-3</v>
      </c>
      <c r="D53" s="227">
        <v>6.9354776978967957E-3</v>
      </c>
      <c r="E53" s="227">
        <v>9.3649570139806518E-3</v>
      </c>
      <c r="F53" s="227">
        <v>1.0839844827084872E-2</v>
      </c>
      <c r="G53" s="227">
        <v>9.6922436992898705E-3</v>
      </c>
      <c r="H53" s="227">
        <v>8.8728579132891904E-3</v>
      </c>
      <c r="I53" s="227">
        <v>8.4173289547629371E-3</v>
      </c>
      <c r="J53" s="227">
        <v>8.3612414621484343E-3</v>
      </c>
      <c r="K53" s="227">
        <v>6.2507476053625154E-3</v>
      </c>
      <c r="L53" s="227">
        <v>6.1786725240982826E-3</v>
      </c>
      <c r="M53" s="227">
        <v>3.9579741809789839E-3</v>
      </c>
      <c r="N53" s="227">
        <v>3.1653991345364928E-3</v>
      </c>
      <c r="O53" s="227">
        <v>2.8729942461698313E-3</v>
      </c>
      <c r="P53" s="128"/>
      <c r="Q53" s="207">
        <v>-7.3645242615577372E-4</v>
      </c>
    </row>
    <row r="54" spans="1:17">
      <c r="A54" s="91" t="s">
        <v>218</v>
      </c>
      <c r="B54" s="187">
        <v>2.660303051195629E-3</v>
      </c>
      <c r="C54" s="227">
        <v>2.7031616631653372E-3</v>
      </c>
      <c r="D54" s="227">
        <v>3.0227277146752459E-3</v>
      </c>
      <c r="E54" s="227">
        <v>3.9873269682324901E-3</v>
      </c>
      <c r="F54" s="227">
        <v>5.1224191200969858E-3</v>
      </c>
      <c r="G54" s="227">
        <v>4.8057204864894463E-3</v>
      </c>
      <c r="H54" s="227">
        <v>5.2342210693620671E-3</v>
      </c>
      <c r="I54" s="227">
        <v>5.1308310804650979E-3</v>
      </c>
      <c r="J54" s="227">
        <v>5.1061416213770321E-3</v>
      </c>
      <c r="K54" s="227">
        <v>6.2874775421319909E-3</v>
      </c>
      <c r="L54" s="227">
        <v>7.024399715304489E-3</v>
      </c>
      <c r="M54" s="227">
        <v>7.3980265079559389E-3</v>
      </c>
      <c r="N54" s="227">
        <v>7.173925506065733E-3</v>
      </c>
      <c r="O54" s="227">
        <v>6.6767322008918452E-3</v>
      </c>
      <c r="P54" s="128"/>
      <c r="Q54" s="207">
        <v>-4.28586119697082E-5</v>
      </c>
    </row>
    <row r="55" spans="1:17">
      <c r="A55" s="91" t="s">
        <v>219</v>
      </c>
      <c r="B55" s="187">
        <v>6.9553104354311383E-3</v>
      </c>
      <c r="C55" s="227">
        <v>7.3376464435807786E-3</v>
      </c>
      <c r="D55" s="227">
        <v>7.5110338028529676E-3</v>
      </c>
      <c r="E55" s="227">
        <v>7.7502768284472955E-3</v>
      </c>
      <c r="F55" s="227">
        <v>8.3056307538374504E-3</v>
      </c>
      <c r="G55" s="227">
        <v>7.8823186995128428E-3</v>
      </c>
      <c r="H55" s="227">
        <v>8.3332453083483221E-3</v>
      </c>
      <c r="I55" s="227">
        <v>7.705858997043325E-3</v>
      </c>
      <c r="J55" s="227">
        <v>9.4143263639737719E-3</v>
      </c>
      <c r="K55" s="227">
        <v>9.9941697314243402E-3</v>
      </c>
      <c r="L55" s="227">
        <v>1.066265945114251E-2</v>
      </c>
      <c r="M55" s="227">
        <v>1.1745425902528507E-2</v>
      </c>
      <c r="N55" s="227">
        <v>1.2678633154184197E-2</v>
      </c>
      <c r="O55" s="227">
        <v>1.4522423528898773E-2</v>
      </c>
      <c r="P55" s="128"/>
      <c r="Q55" s="207">
        <v>-3.823360081496403E-4</v>
      </c>
    </row>
    <row r="56" spans="1:17">
      <c r="A56" s="91" t="s">
        <v>464</v>
      </c>
      <c r="B56" s="187">
        <v>0.97083940845657157</v>
      </c>
      <c r="C56" s="227">
        <v>0.90877283918621221</v>
      </c>
      <c r="D56" s="227">
        <v>0.91100973650166817</v>
      </c>
      <c r="E56" s="227">
        <v>0.88428656637285441</v>
      </c>
      <c r="F56" s="227">
        <v>0.85734045897516509</v>
      </c>
      <c r="G56" s="227">
        <v>0.84769120240350071</v>
      </c>
      <c r="H56" s="227">
        <v>0.72637517630465442</v>
      </c>
      <c r="I56" s="227">
        <v>0.66606191178138108</v>
      </c>
      <c r="J56" s="227">
        <v>0.8972892561983471</v>
      </c>
      <c r="K56" s="227">
        <v>0.51303401011977201</v>
      </c>
      <c r="L56" s="227">
        <v>0.48393923060030741</v>
      </c>
      <c r="M56" s="227">
        <v>0.55765655806966485</v>
      </c>
      <c r="N56" s="227">
        <v>0.56765506585240233</v>
      </c>
      <c r="O56" s="227">
        <v>0.59606345475910694</v>
      </c>
      <c r="P56" s="128"/>
      <c r="Q56" s="207">
        <v>6.2066569270359362E-2</v>
      </c>
    </row>
    <row r="57" spans="1:17">
      <c r="A57" s="91" t="s">
        <v>465</v>
      </c>
      <c r="B57" s="187">
        <v>0.79449152542372881</v>
      </c>
      <c r="C57" s="227">
        <v>0.82057552783891741</v>
      </c>
      <c r="D57" s="227">
        <v>0.67167046955686327</v>
      </c>
      <c r="E57" s="227">
        <v>0.58448726638907722</v>
      </c>
      <c r="F57" s="227">
        <v>0.54083560781020368</v>
      </c>
      <c r="G57" s="227">
        <v>0.45627953100390828</v>
      </c>
      <c r="H57" s="227">
        <v>0.40906193301623106</v>
      </c>
      <c r="I57" s="227">
        <v>0.41381564611026367</v>
      </c>
      <c r="J57" s="227">
        <v>0.3517344425150426</v>
      </c>
      <c r="K57" s="227">
        <v>0.36401884887243352</v>
      </c>
      <c r="L57" s="227">
        <v>0.43316348813509975</v>
      </c>
      <c r="M57" s="227">
        <v>0.39835301946431539</v>
      </c>
      <c r="N57" s="227">
        <v>0.39777579187766854</v>
      </c>
      <c r="O57" s="227">
        <v>0.44245633110359989</v>
      </c>
      <c r="P57" s="128"/>
      <c r="Q57" s="207">
        <v>-2.6084002415188601E-2</v>
      </c>
    </row>
    <row r="58" spans="1:17">
      <c r="A58" s="91" t="s">
        <v>466</v>
      </c>
      <c r="B58" s="187">
        <v>0.85839632316633119</v>
      </c>
      <c r="C58" s="227">
        <v>0.8575372143406248</v>
      </c>
      <c r="D58" s="227">
        <v>0.82028611776263283</v>
      </c>
      <c r="E58" s="227">
        <v>0.7887454444375811</v>
      </c>
      <c r="F58" s="227">
        <v>0.85826068566863267</v>
      </c>
      <c r="G58" s="227">
        <v>0.75157044878792245</v>
      </c>
      <c r="H58" s="227">
        <v>0.71830931796349662</v>
      </c>
      <c r="I58" s="227">
        <v>0.73566627749203239</v>
      </c>
      <c r="J58" s="227">
        <v>0.71378520979313809</v>
      </c>
      <c r="K58" s="227">
        <v>0.69382544103992572</v>
      </c>
      <c r="L58" s="227">
        <v>0.67884039393080331</v>
      </c>
      <c r="M58" s="227">
        <v>0.65824041171425074</v>
      </c>
      <c r="N58" s="227">
        <v>0.63494658364397427</v>
      </c>
      <c r="O58" s="227">
        <v>0.63401289849313813</v>
      </c>
      <c r="P58" s="128"/>
      <c r="Q58" s="207">
        <v>8.5910882570638947E-4</v>
      </c>
    </row>
    <row r="59" spans="1:17">
      <c r="A59" s="91" t="s">
        <v>220</v>
      </c>
      <c r="B59" s="187">
        <v>1</v>
      </c>
      <c r="C59" s="227">
        <v>1</v>
      </c>
      <c r="D59" s="227">
        <v>1</v>
      </c>
      <c r="E59" s="227">
        <v>1</v>
      </c>
      <c r="F59" s="227">
        <v>1</v>
      </c>
      <c r="G59" s="227">
        <v>1</v>
      </c>
      <c r="H59" s="227">
        <v>0.99979209979209982</v>
      </c>
      <c r="I59" s="227">
        <v>0.99978127734033251</v>
      </c>
      <c r="J59" s="227">
        <v>1</v>
      </c>
      <c r="K59" s="227">
        <v>1</v>
      </c>
      <c r="L59" s="227">
        <v>1</v>
      </c>
      <c r="M59" s="227">
        <v>1</v>
      </c>
      <c r="N59" s="227">
        <v>1</v>
      </c>
      <c r="O59" s="227">
        <v>1</v>
      </c>
      <c r="P59" s="128"/>
      <c r="Q59" s="207">
        <v>0</v>
      </c>
    </row>
    <row r="60" spans="1:17">
      <c r="A60" s="91" t="s">
        <v>221</v>
      </c>
      <c r="B60" s="187">
        <v>0.99982657957107346</v>
      </c>
      <c r="C60" s="227">
        <v>0.99974299665895661</v>
      </c>
      <c r="D60" s="227">
        <v>0.99974299665895661</v>
      </c>
      <c r="E60" s="227">
        <v>0.99980928768952038</v>
      </c>
      <c r="F60" s="227">
        <v>0.99980928768952038</v>
      </c>
      <c r="G60" s="227">
        <v>0.99980928768952038</v>
      </c>
      <c r="H60" s="227">
        <v>0.99985070170200063</v>
      </c>
      <c r="I60" s="227">
        <v>0.99971108107271467</v>
      </c>
      <c r="J60" s="227">
        <v>0.99960025667729147</v>
      </c>
      <c r="K60" s="227">
        <v>0.99954587532531047</v>
      </c>
      <c r="L60" s="227">
        <v>0.99950966540897224</v>
      </c>
      <c r="M60" s="227">
        <v>0.99944684232669023</v>
      </c>
      <c r="N60" s="227">
        <v>0.99944805472143194</v>
      </c>
      <c r="O60" s="227">
        <v>0.99940223855561316</v>
      </c>
      <c r="P60" s="128"/>
      <c r="Q60" s="207">
        <v>8.3582912116852981E-5</v>
      </c>
    </row>
    <row r="61" spans="1:17">
      <c r="A61" s="91"/>
      <c r="B61" s="91"/>
      <c r="C61" s="91"/>
      <c r="D61" s="91"/>
      <c r="E61" s="91"/>
      <c r="F61" s="91"/>
      <c r="G61" s="91"/>
      <c r="H61" s="91"/>
      <c r="I61" s="91"/>
      <c r="J61" s="91"/>
      <c r="K61" s="91"/>
      <c r="L61" s="91"/>
      <c r="M61" s="91"/>
      <c r="N61" s="91"/>
      <c r="O61" s="91"/>
      <c r="P61" s="123"/>
      <c r="Q61" s="123"/>
    </row>
    <row r="62" spans="1:17">
      <c r="A62" s="121" t="s">
        <v>352</v>
      </c>
      <c r="B62" s="121"/>
      <c r="C62" s="121"/>
      <c r="D62" s="121"/>
      <c r="E62" s="121"/>
      <c r="F62" s="121"/>
      <c r="G62" s="121"/>
      <c r="H62" s="121"/>
      <c r="I62" s="121"/>
      <c r="J62" s="121"/>
      <c r="K62" s="121"/>
      <c r="L62" s="121"/>
      <c r="M62" s="121"/>
      <c r="N62" s="121"/>
      <c r="O62" s="121"/>
      <c r="P62" s="131"/>
      <c r="Q62" s="131"/>
    </row>
    <row r="63" spans="1:17">
      <c r="A63" s="213" t="s">
        <v>537</v>
      </c>
      <c r="B63" s="217">
        <v>11490.611000000001</v>
      </c>
      <c r="C63" s="152">
        <v>11187.968999999999</v>
      </c>
      <c r="D63" s="152">
        <v>10955.397000000001</v>
      </c>
      <c r="E63" s="152">
        <v>10801.358</v>
      </c>
      <c r="F63" s="152">
        <v>10740.782999999999</v>
      </c>
      <c r="G63" s="152">
        <v>10543.403</v>
      </c>
      <c r="H63" s="152">
        <v>10261.413</v>
      </c>
      <c r="I63" s="152">
        <v>10189.196</v>
      </c>
      <c r="J63" s="152">
        <v>10317.552</v>
      </c>
      <c r="K63" s="152">
        <v>10276.348</v>
      </c>
      <c r="L63" s="152">
        <v>10069.828</v>
      </c>
      <c r="M63" s="152">
        <v>10167.02</v>
      </c>
      <c r="N63" s="152">
        <v>10277.457</v>
      </c>
      <c r="O63" s="152">
        <v>10277.821</v>
      </c>
      <c r="P63" s="123"/>
      <c r="Q63" s="209">
        <v>2.7050664870451612E-2</v>
      </c>
    </row>
    <row r="64" spans="1:17">
      <c r="A64" s="213" t="s">
        <v>450</v>
      </c>
      <c r="B64" s="217">
        <v>11354.494000000001</v>
      </c>
      <c r="C64" s="152">
        <v>11048.689</v>
      </c>
      <c r="D64" s="152">
        <v>10805.936</v>
      </c>
      <c r="E64" s="152">
        <v>10647.645</v>
      </c>
      <c r="F64" s="152">
        <v>10538.022999999999</v>
      </c>
      <c r="G64" s="152">
        <v>10329.073</v>
      </c>
      <c r="H64" s="152">
        <v>10040.456</v>
      </c>
      <c r="I64" s="152">
        <v>9904.4410000000007</v>
      </c>
      <c r="J64" s="152">
        <v>9989.0010000000002</v>
      </c>
      <c r="K64" s="152">
        <v>9897.3870000000006</v>
      </c>
      <c r="L64" s="152">
        <v>9674.4719999999998</v>
      </c>
      <c r="M64" s="152">
        <v>9774.77</v>
      </c>
      <c r="N64" s="152">
        <v>9880.5259999999998</v>
      </c>
      <c r="O64" s="152">
        <v>9859.7549999999992</v>
      </c>
      <c r="P64" s="123"/>
      <c r="Q64" s="209">
        <v>2.7677944414943735E-2</v>
      </c>
    </row>
    <row r="65" spans="1:17">
      <c r="A65" s="213" t="s">
        <v>451</v>
      </c>
      <c r="B65" s="217">
        <v>17.835999999999999</v>
      </c>
      <c r="C65" s="152">
        <v>17.882999999999999</v>
      </c>
      <c r="D65" s="152">
        <v>22.693000000000001</v>
      </c>
      <c r="E65" s="152">
        <v>19.527000000000001</v>
      </c>
      <c r="F65" s="152">
        <v>14.246</v>
      </c>
      <c r="G65" s="152">
        <v>23.95</v>
      </c>
      <c r="H65" s="152">
        <v>18.867999999999999</v>
      </c>
      <c r="I65" s="152">
        <v>36.359000000000002</v>
      </c>
      <c r="J65" s="152">
        <v>34.979999999999997</v>
      </c>
      <c r="K65" s="152">
        <v>31.744</v>
      </c>
      <c r="L65" s="152">
        <v>29.905999999999999</v>
      </c>
      <c r="M65" s="152">
        <v>33.865000000000002</v>
      </c>
      <c r="N65" s="152">
        <v>25.84</v>
      </c>
      <c r="O65" s="152">
        <v>28.88</v>
      </c>
      <c r="P65" s="123"/>
      <c r="Q65" s="209">
        <v>-2.6281943745456913E-3</v>
      </c>
    </row>
    <row r="66" spans="1:17">
      <c r="A66" s="91" t="s">
        <v>223</v>
      </c>
      <c r="B66" s="218">
        <v>8.6259999999999994</v>
      </c>
      <c r="C66" s="124">
        <v>12.79</v>
      </c>
      <c r="D66" s="124">
        <v>18.757999999999999</v>
      </c>
      <c r="E66" s="124">
        <v>13.349</v>
      </c>
      <c r="F66" s="124">
        <v>10.071</v>
      </c>
      <c r="G66" s="124">
        <v>12.563000000000001</v>
      </c>
      <c r="H66" s="124">
        <v>10.068</v>
      </c>
      <c r="I66" s="124">
        <v>20.585000000000001</v>
      </c>
      <c r="J66" s="124">
        <v>18.431999999999999</v>
      </c>
      <c r="K66" s="124">
        <v>18.893999999999998</v>
      </c>
      <c r="L66" s="124">
        <v>14.244</v>
      </c>
      <c r="M66" s="124">
        <v>18.369</v>
      </c>
      <c r="N66" s="124">
        <v>15.997</v>
      </c>
      <c r="O66" s="124">
        <v>16.908000000000001</v>
      </c>
      <c r="P66" s="123"/>
      <c r="Q66" s="207">
        <v>-0.32556684910086003</v>
      </c>
    </row>
    <row r="67" spans="1:17">
      <c r="A67" s="91" t="s">
        <v>224</v>
      </c>
      <c r="B67" s="218">
        <v>9.2100000000000009</v>
      </c>
      <c r="C67" s="124">
        <v>5.093</v>
      </c>
      <c r="D67" s="124">
        <v>3.9350000000000001</v>
      </c>
      <c r="E67" s="124">
        <v>6.1779999999999999</v>
      </c>
      <c r="F67" s="124">
        <v>4.1749999999999998</v>
      </c>
      <c r="G67" s="124">
        <v>11.387</v>
      </c>
      <c r="H67" s="124">
        <v>8.8000000000000007</v>
      </c>
      <c r="I67" s="124">
        <v>15.773999999999999</v>
      </c>
      <c r="J67" s="124">
        <v>16.547999999999998</v>
      </c>
      <c r="K67" s="124">
        <v>12.85</v>
      </c>
      <c r="L67" s="124">
        <v>15.661999999999999</v>
      </c>
      <c r="M67" s="124">
        <v>15.496</v>
      </c>
      <c r="N67" s="124">
        <v>9.843</v>
      </c>
      <c r="O67" s="124">
        <v>11.972</v>
      </c>
      <c r="P67" s="123"/>
      <c r="Q67" s="207">
        <v>0.80836442175535062</v>
      </c>
    </row>
    <row r="68" spans="1:17">
      <c r="A68" s="213" t="s">
        <v>452</v>
      </c>
      <c r="B68" s="217">
        <v>118.28100000000001</v>
      </c>
      <c r="C68" s="152">
        <v>121.39700000000001</v>
      </c>
      <c r="D68" s="152">
        <v>126.768</v>
      </c>
      <c r="E68" s="152">
        <v>134.18600000000001</v>
      </c>
      <c r="F68" s="152">
        <v>188.51400000000001</v>
      </c>
      <c r="G68" s="152">
        <v>190.38</v>
      </c>
      <c r="H68" s="152">
        <v>202.089</v>
      </c>
      <c r="I68" s="152">
        <v>248.39599999999999</v>
      </c>
      <c r="J68" s="152">
        <v>293.57100000000003</v>
      </c>
      <c r="K68" s="152">
        <v>347.21700000000004</v>
      </c>
      <c r="L68" s="152">
        <v>365.45</v>
      </c>
      <c r="M68" s="152">
        <v>358.38499999999999</v>
      </c>
      <c r="N68" s="152">
        <v>371.09100000000001</v>
      </c>
      <c r="O68" s="152">
        <v>389.18599999999998</v>
      </c>
      <c r="P68" s="123"/>
      <c r="Q68" s="209">
        <v>-2.5667850111617253E-2</v>
      </c>
    </row>
    <row r="69" spans="1:17">
      <c r="A69" s="91" t="s">
        <v>225</v>
      </c>
      <c r="B69" s="218">
        <v>45.366999999999997</v>
      </c>
      <c r="C69" s="124">
        <v>45.991</v>
      </c>
      <c r="D69" s="124">
        <v>53.628999999999998</v>
      </c>
      <c r="E69" s="124">
        <v>55.997</v>
      </c>
      <c r="F69" s="124">
        <v>77.77</v>
      </c>
      <c r="G69" s="124">
        <v>88.174999999999997</v>
      </c>
      <c r="H69" s="124">
        <v>98.305000000000007</v>
      </c>
      <c r="I69" s="124">
        <v>102.533</v>
      </c>
      <c r="J69" s="124">
        <v>108.495</v>
      </c>
      <c r="K69" s="124">
        <v>168.30799999999999</v>
      </c>
      <c r="L69" s="124">
        <v>185.12200000000001</v>
      </c>
      <c r="M69" s="124">
        <v>170.827</v>
      </c>
      <c r="N69" s="124">
        <v>150.63900000000001</v>
      </c>
      <c r="O69" s="124">
        <v>153.566</v>
      </c>
      <c r="P69" s="123"/>
      <c r="Q69" s="207">
        <v>-1.3567871974951672E-2</v>
      </c>
    </row>
    <row r="70" spans="1:17">
      <c r="A70" s="91" t="s">
        <v>226</v>
      </c>
      <c r="B70" s="218">
        <v>2.3719999999999999</v>
      </c>
      <c r="C70" s="124">
        <v>2.0710000000000002</v>
      </c>
      <c r="D70" s="124">
        <v>1.89</v>
      </c>
      <c r="E70" s="124">
        <v>1.7729999999999999</v>
      </c>
      <c r="F70" s="124">
        <v>1.175</v>
      </c>
      <c r="G70" s="124">
        <v>1.085</v>
      </c>
      <c r="H70" s="124">
        <v>1.3129999999999999</v>
      </c>
      <c r="I70" s="124">
        <v>1.482</v>
      </c>
      <c r="J70" s="124">
        <v>29.786000000000001</v>
      </c>
      <c r="K70" s="124">
        <v>7.5510000000000002</v>
      </c>
      <c r="L70" s="124">
        <v>2.1579999999999999</v>
      </c>
      <c r="M70" s="124">
        <v>4.8920000000000003</v>
      </c>
      <c r="N70" s="124">
        <v>1.8260000000000001</v>
      </c>
      <c r="O70" s="124">
        <v>2.5720000000000001</v>
      </c>
      <c r="P70" s="123"/>
      <c r="Q70" s="207">
        <v>0.14534041525832916</v>
      </c>
    </row>
    <row r="71" spans="1:17">
      <c r="A71" s="91" t="s">
        <v>224</v>
      </c>
      <c r="B71" s="218">
        <v>1.9710000000000001</v>
      </c>
      <c r="C71" s="124">
        <v>4.5940000000000003</v>
      </c>
      <c r="D71" s="124">
        <v>2.0089999999999999</v>
      </c>
      <c r="E71" s="124">
        <v>5.3479999999999999</v>
      </c>
      <c r="F71" s="124">
        <v>2.431</v>
      </c>
      <c r="G71" s="124">
        <v>4.5309999999999997</v>
      </c>
      <c r="H71" s="124">
        <v>1.925</v>
      </c>
      <c r="I71" s="124">
        <v>4.0579999999999998</v>
      </c>
      <c r="J71" s="124">
        <v>5.4809999999999999</v>
      </c>
      <c r="K71" s="124">
        <v>5.5940000000000003</v>
      </c>
      <c r="L71" s="124">
        <v>5.2549999999999999</v>
      </c>
      <c r="M71" s="124">
        <v>3.6280000000000001</v>
      </c>
      <c r="N71" s="124">
        <v>4.6100000000000003</v>
      </c>
      <c r="O71" s="124">
        <v>4.7850000000000001</v>
      </c>
      <c r="P71" s="123"/>
      <c r="Q71" s="207">
        <v>-0.57096212451023076</v>
      </c>
    </row>
    <row r="72" spans="1:17">
      <c r="A72" s="91" t="s">
        <v>227</v>
      </c>
      <c r="B72" s="218">
        <v>6.0529999999999999</v>
      </c>
      <c r="C72" s="124">
        <v>3.496</v>
      </c>
      <c r="D72" s="124">
        <v>7.4320000000000004</v>
      </c>
      <c r="E72" s="124">
        <v>5.3730000000000002</v>
      </c>
      <c r="F72" s="124">
        <v>19.527999999999999</v>
      </c>
      <c r="G72" s="124">
        <v>5.4950000000000001</v>
      </c>
      <c r="H72" s="124">
        <v>7.3819999999999997</v>
      </c>
      <c r="I72" s="124">
        <v>6.6109999999999998</v>
      </c>
      <c r="J72" s="124">
        <v>16.059000000000001</v>
      </c>
      <c r="K72" s="124">
        <v>11.473000000000001</v>
      </c>
      <c r="L72" s="124">
        <v>11.46</v>
      </c>
      <c r="M72" s="124">
        <v>13.689</v>
      </c>
      <c r="N72" s="124">
        <v>12.436999999999999</v>
      </c>
      <c r="O72" s="124">
        <v>13.023999999999999</v>
      </c>
      <c r="P72" s="123"/>
      <c r="Q72" s="207">
        <v>0.73140732265446218</v>
      </c>
    </row>
    <row r="73" spans="1:17">
      <c r="A73" s="91" t="s">
        <v>228</v>
      </c>
      <c r="B73" s="218">
        <v>10.252000000000001</v>
      </c>
      <c r="C73" s="124">
        <v>22.806000000000001</v>
      </c>
      <c r="D73" s="124">
        <v>22.035</v>
      </c>
      <c r="E73" s="124">
        <v>23.661000000000001</v>
      </c>
      <c r="F73" s="124">
        <v>12.38</v>
      </c>
      <c r="G73" s="124">
        <v>11.944000000000001</v>
      </c>
      <c r="H73" s="124">
        <v>11.885999999999999</v>
      </c>
      <c r="I73" s="124">
        <v>16.564</v>
      </c>
      <c r="J73" s="124">
        <v>17.582999999999998</v>
      </c>
      <c r="K73" s="124">
        <v>20.756</v>
      </c>
      <c r="L73" s="124">
        <v>20.100999999999999</v>
      </c>
      <c r="M73" s="124">
        <v>17.446000000000002</v>
      </c>
      <c r="N73" s="124">
        <v>28.433</v>
      </c>
      <c r="O73" s="124">
        <v>32.429000000000002</v>
      </c>
      <c r="P73" s="123"/>
      <c r="Q73" s="207">
        <v>-0.55046917477856705</v>
      </c>
    </row>
    <row r="74" spans="1:17">
      <c r="A74" s="91" t="s">
        <v>229</v>
      </c>
      <c r="B74" s="218">
        <v>52.265999999999998</v>
      </c>
      <c r="C74" s="124">
        <v>42.439</v>
      </c>
      <c r="D74" s="124">
        <v>39.772999999999996</v>
      </c>
      <c r="E74" s="124">
        <v>42.033999999999999</v>
      </c>
      <c r="F74" s="124">
        <v>75.23</v>
      </c>
      <c r="G74" s="124">
        <v>79.150000000000006</v>
      </c>
      <c r="H74" s="124">
        <v>81.278000000000006</v>
      </c>
      <c r="I74" s="124">
        <v>117.148</v>
      </c>
      <c r="J74" s="124">
        <v>116.167</v>
      </c>
      <c r="K74" s="124">
        <v>133.535</v>
      </c>
      <c r="L74" s="124">
        <v>141.35400000000001</v>
      </c>
      <c r="M74" s="124">
        <v>147.90299999999999</v>
      </c>
      <c r="N74" s="124">
        <v>173.14599999999999</v>
      </c>
      <c r="O74" s="124">
        <v>182.81</v>
      </c>
      <c r="P74" s="123"/>
      <c r="Q74" s="207">
        <v>0.2315558802045288</v>
      </c>
    </row>
    <row r="75" spans="1:17">
      <c r="A75" s="213" t="s">
        <v>230</v>
      </c>
      <c r="B75" s="272">
        <v>1.0293708489478932E-2</v>
      </c>
      <c r="C75" s="273">
        <v>1.0850584230256628E-2</v>
      </c>
      <c r="D75" s="273">
        <v>1.1571283085405303E-2</v>
      </c>
      <c r="E75" s="273">
        <v>1.2423067543914385E-2</v>
      </c>
      <c r="F75" s="273">
        <v>1.755123439324675E-2</v>
      </c>
      <c r="G75" s="273">
        <v>1.7849578625059277E-2</v>
      </c>
      <c r="H75" s="273">
        <v>1.9694071372042037E-2</v>
      </c>
      <c r="I75" s="273">
        <v>2.4378370972547785E-2</v>
      </c>
      <c r="J75" s="273">
        <v>2.8453648694961753E-2</v>
      </c>
      <c r="K75" s="273">
        <v>3.3788073350571622E-2</v>
      </c>
      <c r="L75" s="273">
        <v>3.6291586737289529E-2</v>
      </c>
      <c r="M75" s="273">
        <v>3.5249660175744713E-2</v>
      </c>
      <c r="N75" s="273">
        <v>3.6107278288782914E-2</v>
      </c>
      <c r="O75" s="273">
        <v>3.7866586701597545E-2</v>
      </c>
      <c r="P75" s="123"/>
      <c r="Q75" s="209">
        <v>-5.5687574077769621E-4</v>
      </c>
    </row>
    <row r="76" spans="1:17">
      <c r="A76" s="214" t="s">
        <v>379</v>
      </c>
      <c r="B76" s="217">
        <v>176.62200000000001</v>
      </c>
      <c r="C76" s="152">
        <v>179.601</v>
      </c>
      <c r="D76" s="152">
        <v>176.52500000000001</v>
      </c>
      <c r="E76" s="152">
        <v>166.38200000000001</v>
      </c>
      <c r="F76" s="152">
        <v>181.505</v>
      </c>
      <c r="G76" s="152">
        <v>174.245</v>
      </c>
      <c r="H76" s="152">
        <v>164.91200000000001</v>
      </c>
      <c r="I76" s="152">
        <v>175.06</v>
      </c>
      <c r="J76" s="152">
        <v>250.61</v>
      </c>
      <c r="K76" s="152">
        <v>267.42</v>
      </c>
      <c r="L76" s="152">
        <v>267.23200000000003</v>
      </c>
      <c r="M76" s="152">
        <v>274.536</v>
      </c>
      <c r="N76" s="152">
        <v>287.64499999999998</v>
      </c>
      <c r="O76" s="152">
        <v>282.411</v>
      </c>
      <c r="P76" s="123"/>
      <c r="Q76" s="209">
        <v>-1.658676733425752E-2</v>
      </c>
    </row>
    <row r="77" spans="1:17">
      <c r="A77" s="213" t="s">
        <v>231</v>
      </c>
      <c r="B77" s="272">
        <v>1.5370983964883383E-2</v>
      </c>
      <c r="C77" s="273">
        <v>1.6053048177580072E-2</v>
      </c>
      <c r="D77" s="273">
        <v>1.6113062909173793E-2</v>
      </c>
      <c r="E77" s="273">
        <v>1.540380318139942E-2</v>
      </c>
      <c r="F77" s="273">
        <v>1.68986753392503E-2</v>
      </c>
      <c r="G77" s="273">
        <v>1.6243979119049509E-2</v>
      </c>
      <c r="H77" s="273">
        <v>1.6071081731464071E-2</v>
      </c>
      <c r="I77" s="273">
        <v>1.7249643642148017E-2</v>
      </c>
      <c r="J77" s="273">
        <v>2.4289677616628102E-2</v>
      </c>
      <c r="K77" s="273">
        <v>2.6022862595559478E-2</v>
      </c>
      <c r="L77" s="273">
        <v>2.6537892955835179E-2</v>
      </c>
      <c r="M77" s="273">
        <v>2.7002602325918397E-2</v>
      </c>
      <c r="N77" s="130">
        <v>2.7987952905404418E-2</v>
      </c>
      <c r="O77" s="130">
        <v>2.747770905349313E-2</v>
      </c>
      <c r="P77" s="123"/>
      <c r="Q77" s="209">
        <v>-6.8206421269668971E-4</v>
      </c>
    </row>
    <row r="78" spans="1:17">
      <c r="A78" s="213" t="s">
        <v>232</v>
      </c>
      <c r="B78" s="292">
        <v>1.4932404417429392</v>
      </c>
      <c r="C78" s="130">
        <v>1.4794579665006675</v>
      </c>
      <c r="D78" s="130">
        <v>1.3925053238501506</v>
      </c>
      <c r="E78" s="130">
        <v>1.2399355483467007</v>
      </c>
      <c r="F78" s="130">
        <v>0.96281973752612537</v>
      </c>
      <c r="G78" s="130">
        <v>0.91004832440382388</v>
      </c>
      <c r="H78" s="130">
        <v>0.81603649877034379</v>
      </c>
      <c r="I78" s="130">
        <v>0.70757983220341714</v>
      </c>
      <c r="J78" s="130">
        <v>0.85365795834458047</v>
      </c>
      <c r="K78" s="130">
        <v>0.77017989269411968</v>
      </c>
      <c r="L78" s="130">
        <v>0.73124083015000763</v>
      </c>
      <c r="M78" s="130">
        <v>0.76603797021470688</v>
      </c>
      <c r="N78" s="130">
        <v>0.77513299673070846</v>
      </c>
      <c r="O78" s="130">
        <v>0.72564551280465006</v>
      </c>
      <c r="P78" s="123"/>
      <c r="Q78" s="209">
        <v>1.3782475242271719E-2</v>
      </c>
    </row>
    <row r="79" spans="1:17">
      <c r="A79" s="91"/>
      <c r="B79" s="91"/>
      <c r="C79" s="91"/>
      <c r="D79" s="91"/>
      <c r="E79" s="91"/>
      <c r="F79" s="91"/>
      <c r="G79" s="91"/>
      <c r="H79" s="91"/>
      <c r="I79" s="91"/>
      <c r="J79" s="91"/>
      <c r="K79" s="91"/>
      <c r="L79" s="91"/>
      <c r="M79" s="91"/>
      <c r="N79" s="91"/>
      <c r="O79" s="91"/>
      <c r="P79" s="123"/>
      <c r="Q79" s="123"/>
    </row>
    <row r="80" spans="1:17">
      <c r="A80" s="91"/>
      <c r="B80" s="91"/>
      <c r="C80" s="91"/>
      <c r="D80" s="91"/>
      <c r="E80" s="91"/>
      <c r="F80" s="91"/>
      <c r="G80" s="91"/>
      <c r="H80" s="91"/>
      <c r="I80" s="91"/>
      <c r="J80" s="91"/>
      <c r="K80" s="91"/>
      <c r="L80" s="91"/>
      <c r="M80" s="91"/>
      <c r="N80" s="91"/>
      <c r="O80" s="91"/>
      <c r="P80" s="123"/>
      <c r="Q80" s="123"/>
    </row>
    <row r="81" spans="1:18" ht="24.95" customHeight="1">
      <c r="A81" s="323" t="s">
        <v>309</v>
      </c>
      <c r="B81" s="323"/>
      <c r="C81" s="323"/>
      <c r="D81" s="323"/>
      <c r="E81" s="323"/>
      <c r="F81" s="323"/>
      <c r="G81" s="323"/>
      <c r="H81" s="323"/>
      <c r="I81" s="323"/>
      <c r="J81" s="323"/>
      <c r="K81" s="323"/>
      <c r="L81" s="323"/>
      <c r="M81" s="323"/>
      <c r="N81" s="323"/>
      <c r="O81" s="323"/>
      <c r="P81" s="323"/>
      <c r="Q81" s="323"/>
    </row>
    <row r="82" spans="1:18" ht="24.95" customHeight="1">
      <c r="A82" s="323" t="s">
        <v>310</v>
      </c>
      <c r="B82" s="323"/>
      <c r="C82" s="323"/>
      <c r="D82" s="323"/>
      <c r="E82" s="323"/>
      <c r="F82" s="323"/>
      <c r="G82" s="323"/>
      <c r="H82" s="323"/>
      <c r="I82" s="323"/>
      <c r="J82" s="323"/>
      <c r="K82" s="323"/>
      <c r="L82" s="323"/>
      <c r="M82" s="323"/>
      <c r="N82" s="323"/>
      <c r="O82" s="323"/>
      <c r="P82" s="323"/>
      <c r="Q82" s="323"/>
    </row>
    <row r="83" spans="1:18" ht="24.95" customHeight="1">
      <c r="A83" s="323" t="s">
        <v>579</v>
      </c>
      <c r="B83" s="323"/>
      <c r="C83" s="323"/>
      <c r="D83" s="323"/>
      <c r="E83" s="323"/>
      <c r="F83" s="323"/>
      <c r="G83" s="323"/>
      <c r="H83" s="323"/>
      <c r="I83" s="323"/>
      <c r="J83" s="323"/>
      <c r="K83" s="323"/>
      <c r="L83" s="323"/>
      <c r="M83" s="323"/>
      <c r="N83" s="323"/>
      <c r="O83" s="323"/>
      <c r="P83" s="323"/>
      <c r="Q83" s="323"/>
      <c r="R83" s="204"/>
    </row>
    <row r="84" spans="1:18" ht="24.95" customHeight="1">
      <c r="A84" s="323" t="s">
        <v>581</v>
      </c>
      <c r="B84" s="323"/>
      <c r="C84" s="323"/>
      <c r="D84" s="323"/>
      <c r="E84" s="323"/>
      <c r="F84" s="323"/>
      <c r="G84" s="323"/>
      <c r="H84" s="323"/>
      <c r="I84" s="323"/>
      <c r="J84" s="323"/>
      <c r="K84" s="323"/>
      <c r="L84" s="323"/>
      <c r="M84" s="323"/>
      <c r="N84" s="323"/>
      <c r="O84" s="323"/>
      <c r="P84" s="323"/>
      <c r="Q84" s="323"/>
      <c r="R84" s="204"/>
    </row>
    <row r="85" spans="1:18" ht="24" customHeight="1">
      <c r="A85" s="323" t="s">
        <v>474</v>
      </c>
      <c r="B85" s="323"/>
      <c r="C85" s="323"/>
      <c r="D85" s="323"/>
      <c r="E85" s="323"/>
      <c r="F85" s="323"/>
      <c r="G85" s="323"/>
      <c r="H85" s="323"/>
      <c r="I85" s="323"/>
      <c r="J85" s="323"/>
      <c r="K85" s="323"/>
      <c r="L85" s="323"/>
      <c r="M85" s="323"/>
      <c r="N85" s="323"/>
      <c r="O85" s="323"/>
      <c r="P85" s="323"/>
      <c r="Q85" s="323"/>
    </row>
    <row r="86" spans="1:18" ht="22.5" customHeight="1">
      <c r="A86" s="323" t="s">
        <v>467</v>
      </c>
      <c r="B86" s="323"/>
      <c r="C86" s="323"/>
      <c r="D86" s="323"/>
      <c r="E86" s="323"/>
      <c r="F86" s="323"/>
      <c r="G86" s="323"/>
      <c r="H86" s="323"/>
      <c r="I86" s="323"/>
      <c r="J86" s="323"/>
      <c r="K86" s="323"/>
      <c r="L86" s="323"/>
      <c r="M86" s="323"/>
      <c r="N86" s="323"/>
      <c r="O86" s="323"/>
      <c r="P86" s="323"/>
      <c r="Q86" s="323"/>
    </row>
    <row r="87" spans="1:18" ht="52.5" customHeight="1">
      <c r="A87" s="323" t="s">
        <v>468</v>
      </c>
      <c r="B87" s="323"/>
      <c r="C87" s="323"/>
      <c r="D87" s="323"/>
      <c r="E87" s="323"/>
      <c r="F87" s="323"/>
      <c r="G87" s="323"/>
      <c r="H87" s="323"/>
      <c r="I87" s="323"/>
      <c r="J87" s="323"/>
      <c r="K87" s="323"/>
      <c r="L87" s="323"/>
      <c r="M87" s="323"/>
      <c r="N87" s="323"/>
      <c r="O87" s="323"/>
      <c r="P87" s="123"/>
      <c r="Q87" s="123"/>
    </row>
    <row r="88" spans="1:18" ht="25.5" customHeight="1">
      <c r="A88" s="323" t="s">
        <v>476</v>
      </c>
      <c r="B88" s="323"/>
      <c r="C88" s="323"/>
      <c r="D88" s="323"/>
      <c r="E88" s="323"/>
      <c r="F88" s="323"/>
      <c r="G88" s="323"/>
      <c r="H88" s="323"/>
      <c r="I88" s="323"/>
      <c r="J88" s="323"/>
      <c r="K88" s="323"/>
      <c r="L88" s="323"/>
      <c r="M88" s="323"/>
      <c r="N88" s="323"/>
      <c r="O88" s="323"/>
      <c r="P88" s="323"/>
      <c r="Q88" s="323"/>
    </row>
    <row r="89" spans="1:18">
      <c r="A89" s="91"/>
      <c r="B89" s="91"/>
      <c r="C89" s="91"/>
      <c r="D89" s="91"/>
      <c r="E89" s="91"/>
      <c r="F89" s="91"/>
      <c r="G89" s="91"/>
      <c r="H89" s="91"/>
      <c r="I89" s="91"/>
      <c r="J89" s="91"/>
      <c r="K89" s="91"/>
      <c r="L89" s="91"/>
      <c r="M89" s="91"/>
      <c r="N89" s="91"/>
      <c r="O89" s="91"/>
      <c r="P89" s="123"/>
      <c r="Q89" s="123"/>
    </row>
    <row r="90" spans="1:18">
      <c r="A90" s="91"/>
      <c r="B90" s="91"/>
      <c r="C90" s="91"/>
      <c r="D90" s="91"/>
      <c r="E90" s="91"/>
      <c r="F90" s="91"/>
      <c r="G90" s="91"/>
      <c r="H90" s="91"/>
      <c r="I90" s="91"/>
      <c r="J90" s="91"/>
      <c r="K90" s="91"/>
      <c r="L90" s="91"/>
      <c r="M90" s="91"/>
      <c r="N90" s="91"/>
      <c r="O90" s="91"/>
      <c r="P90" s="123"/>
      <c r="Q90" s="123"/>
    </row>
    <row r="91" spans="1:18">
      <c r="A91" s="91"/>
      <c r="B91" s="91"/>
      <c r="C91" s="91"/>
      <c r="D91" s="91"/>
      <c r="E91" s="91"/>
      <c r="F91" s="91"/>
      <c r="G91" s="91"/>
      <c r="H91" s="91"/>
      <c r="I91" s="91"/>
      <c r="J91" s="91"/>
      <c r="K91" s="91"/>
      <c r="L91" s="91"/>
      <c r="M91" s="91"/>
      <c r="N91" s="91"/>
      <c r="O91" s="91"/>
      <c r="P91" s="123"/>
      <c r="Q91" s="123"/>
    </row>
    <row r="92" spans="1:18">
      <c r="A92" s="91"/>
      <c r="B92" s="91"/>
      <c r="C92" s="91"/>
      <c r="D92" s="91"/>
      <c r="E92" s="91"/>
      <c r="F92" s="91"/>
      <c r="G92" s="91"/>
      <c r="H92" s="91"/>
      <c r="I92" s="91"/>
      <c r="J92" s="91"/>
      <c r="K92" s="91"/>
      <c r="L92" s="91"/>
      <c r="M92" s="91"/>
      <c r="N92" s="91"/>
      <c r="O92" s="91"/>
      <c r="P92" s="123"/>
      <c r="Q92" s="123"/>
    </row>
    <row r="93" spans="1:18">
      <c r="A93" s="91"/>
      <c r="B93" s="91"/>
      <c r="C93" s="91"/>
      <c r="D93" s="91"/>
      <c r="E93" s="91"/>
      <c r="F93" s="91"/>
      <c r="G93" s="91"/>
      <c r="H93" s="91"/>
      <c r="I93" s="91"/>
      <c r="J93" s="91"/>
      <c r="K93" s="91"/>
      <c r="L93" s="91"/>
      <c r="M93" s="91"/>
      <c r="N93" s="91"/>
      <c r="O93" s="91"/>
      <c r="P93" s="123"/>
      <c r="Q93" s="123"/>
    </row>
    <row r="94" spans="1:18">
      <c r="A94" s="91"/>
      <c r="B94" s="91"/>
      <c r="C94" s="91"/>
      <c r="D94" s="91"/>
      <c r="E94" s="91"/>
      <c r="F94" s="91"/>
      <c r="G94" s="91"/>
      <c r="H94" s="91"/>
      <c r="I94" s="91"/>
      <c r="J94" s="91"/>
      <c r="K94" s="91"/>
      <c r="L94" s="91"/>
      <c r="M94" s="91"/>
      <c r="N94" s="91"/>
      <c r="O94" s="91"/>
      <c r="P94" s="123"/>
      <c r="Q94" s="123"/>
    </row>
    <row r="95" spans="1:18">
      <c r="A95" s="91"/>
      <c r="B95" s="91"/>
      <c r="C95" s="91"/>
      <c r="D95" s="91"/>
      <c r="E95" s="91"/>
      <c r="F95" s="91"/>
      <c r="G95" s="91"/>
      <c r="H95" s="91"/>
      <c r="I95" s="91"/>
      <c r="J95" s="91"/>
      <c r="K95" s="91"/>
      <c r="L95" s="91"/>
      <c r="M95" s="91"/>
      <c r="N95" s="91"/>
      <c r="O95" s="91"/>
      <c r="P95" s="123"/>
      <c r="Q95" s="123"/>
    </row>
    <row r="96" spans="1:18" ht="15" customHeight="1">
      <c r="A96" s="161"/>
      <c r="B96" s="161"/>
      <c r="C96" s="161"/>
      <c r="D96" s="161"/>
      <c r="E96" s="161"/>
      <c r="F96" s="161"/>
      <c r="G96" s="161"/>
      <c r="H96" s="161"/>
      <c r="I96" s="161"/>
      <c r="J96" s="161"/>
      <c r="K96" s="161"/>
      <c r="L96" s="161"/>
      <c r="M96" s="161"/>
      <c r="N96" s="161"/>
      <c r="O96" s="161"/>
      <c r="P96" s="161"/>
      <c r="Q96" s="161"/>
    </row>
    <row r="97" spans="1:17" ht="15" customHeight="1">
      <c r="A97" s="161"/>
      <c r="B97" s="161"/>
      <c r="C97" s="161"/>
      <c r="D97" s="161"/>
      <c r="E97" s="161"/>
      <c r="F97" s="161"/>
      <c r="G97" s="161"/>
      <c r="H97" s="161"/>
      <c r="I97" s="161"/>
      <c r="J97" s="161"/>
      <c r="K97" s="161"/>
      <c r="L97" s="161"/>
      <c r="M97" s="161"/>
      <c r="N97" s="161"/>
      <c r="O97" s="161"/>
      <c r="P97" s="161"/>
      <c r="Q97" s="161"/>
    </row>
  </sheetData>
  <sheetProtection formatCells="0" formatColumns="0" formatRows="0" insertColumns="0" insertRows="0" insertHyperlinks="0" deleteColumns="0" deleteRows="0" sort="0" autoFilter="0" pivotTables="0"/>
  <mergeCells count="8">
    <mergeCell ref="A81:Q81"/>
    <mergeCell ref="A82:Q82"/>
    <mergeCell ref="A88:Q88"/>
    <mergeCell ref="A87:O87"/>
    <mergeCell ref="A86:Q86"/>
    <mergeCell ref="A85:Q85"/>
    <mergeCell ref="A83:Q83"/>
    <mergeCell ref="A84:Q84"/>
  </mergeCells>
  <pageMargins left="0.70866141732283472" right="0.70866141732283472" top="0.74803149606299213" bottom="0.74803149606299213"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Q13"/>
  <sheetViews>
    <sheetView zoomScale="106" zoomScaleNormal="106" workbookViewId="0">
      <selection activeCell="B5" sqref="B5"/>
    </sheetView>
  </sheetViews>
  <sheetFormatPr defaultColWidth="9.140625" defaultRowHeight="15"/>
  <cols>
    <col min="1" max="1" width="36.5703125" style="18" bestFit="1" customWidth="1"/>
    <col min="2" max="15" width="9.7109375" style="18" customWidth="1"/>
    <col min="16" max="16" width="9.140625" style="18"/>
    <col min="17" max="17" width="15.140625" style="18" customWidth="1"/>
    <col min="18" max="16384" width="9.140625" style="18"/>
  </cols>
  <sheetData>
    <row r="1" spans="1:17">
      <c r="A1" s="113" t="s">
        <v>197</v>
      </c>
      <c r="B1" s="113"/>
      <c r="C1" s="113"/>
      <c r="D1" s="113"/>
      <c r="E1" s="113"/>
      <c r="F1" s="113"/>
      <c r="G1" s="113"/>
      <c r="H1" s="113"/>
      <c r="I1" s="113"/>
      <c r="J1" s="113"/>
      <c r="K1" s="113"/>
      <c r="L1" s="113"/>
      <c r="M1" s="113"/>
      <c r="N1" s="113"/>
      <c r="O1" s="113"/>
      <c r="P1" s="113"/>
      <c r="Q1" s="113"/>
    </row>
    <row r="2" spans="1:17" ht="24.75">
      <c r="A2" s="114" t="s">
        <v>33</v>
      </c>
      <c r="B2" s="87">
        <v>46174</v>
      </c>
      <c r="C2" s="87">
        <v>46082</v>
      </c>
      <c r="D2" s="87">
        <v>45992</v>
      </c>
      <c r="E2" s="87">
        <v>45901</v>
      </c>
      <c r="F2" s="87">
        <v>45809</v>
      </c>
      <c r="G2" s="87">
        <v>45717</v>
      </c>
      <c r="H2" s="87">
        <v>45627</v>
      </c>
      <c r="I2" s="87">
        <v>45536</v>
      </c>
      <c r="J2" s="87">
        <v>45444</v>
      </c>
      <c r="K2" s="87">
        <v>45352</v>
      </c>
      <c r="L2" s="87">
        <v>45261</v>
      </c>
      <c r="M2" s="87">
        <v>45170</v>
      </c>
      <c r="N2" s="87">
        <v>45078</v>
      </c>
      <c r="O2" s="87">
        <v>44986</v>
      </c>
      <c r="P2" s="115"/>
      <c r="Q2" s="88" t="s">
        <v>559</v>
      </c>
    </row>
    <row r="3" spans="1:17">
      <c r="A3" s="116" t="s">
        <v>457</v>
      </c>
      <c r="B3" s="237"/>
      <c r="C3" s="237"/>
      <c r="D3" s="237"/>
      <c r="E3" s="237"/>
      <c r="F3" s="237"/>
      <c r="G3" s="237"/>
      <c r="H3" s="237"/>
      <c r="I3" s="237"/>
      <c r="J3" s="237"/>
      <c r="K3" s="237"/>
      <c r="L3" s="237"/>
      <c r="M3" s="237"/>
      <c r="N3" s="237"/>
      <c r="O3" s="237"/>
      <c r="P3" s="117"/>
      <c r="Q3" s="117"/>
    </row>
    <row r="4" spans="1:17">
      <c r="A4" s="114" t="s">
        <v>233</v>
      </c>
      <c r="B4" s="218">
        <v>0</v>
      </c>
      <c r="C4" s="124">
        <v>0</v>
      </c>
      <c r="D4" s="124">
        <v>0</v>
      </c>
      <c r="E4" s="124">
        <v>0</v>
      </c>
      <c r="F4" s="124">
        <v>0</v>
      </c>
      <c r="G4" s="124">
        <v>0</v>
      </c>
      <c r="H4" s="124">
        <v>0</v>
      </c>
      <c r="I4" s="124">
        <v>0</v>
      </c>
      <c r="J4" s="124">
        <v>0</v>
      </c>
      <c r="K4" s="124">
        <v>0</v>
      </c>
      <c r="L4" s="124">
        <v>0</v>
      </c>
      <c r="M4" s="124">
        <v>0</v>
      </c>
      <c r="N4" s="124">
        <v>0</v>
      </c>
      <c r="O4" s="124">
        <v>0</v>
      </c>
      <c r="P4" s="115"/>
      <c r="Q4" s="128">
        <v>0</v>
      </c>
    </row>
    <row r="5" spans="1:17">
      <c r="A5" s="114" t="s">
        <v>236</v>
      </c>
      <c r="B5" s="218">
        <v>246.268</v>
      </c>
      <c r="C5" s="124">
        <v>270.93</v>
      </c>
      <c r="D5" s="124">
        <v>276.459</v>
      </c>
      <c r="E5" s="124">
        <v>290.649</v>
      </c>
      <c r="F5" s="124">
        <v>245.85400000000001</v>
      </c>
      <c r="G5" s="124">
        <v>255.482</v>
      </c>
      <c r="H5" s="124">
        <v>253.86199999999999</v>
      </c>
      <c r="I5" s="124">
        <v>196.572</v>
      </c>
      <c r="J5" s="124">
        <v>203.80199999999999</v>
      </c>
      <c r="K5" s="124">
        <v>229.447</v>
      </c>
      <c r="L5" s="124">
        <v>261.09100000000001</v>
      </c>
      <c r="M5" s="124">
        <v>443.26499999999999</v>
      </c>
      <c r="N5" s="124">
        <v>517.44899999999996</v>
      </c>
      <c r="O5" s="124">
        <v>776.447</v>
      </c>
      <c r="P5" s="115"/>
      <c r="Q5" s="128">
        <v>-9.1027202598457188E-2</v>
      </c>
    </row>
    <row r="6" spans="1:17">
      <c r="A6" s="114" t="s">
        <v>234</v>
      </c>
      <c r="B6" s="218">
        <v>44.722000000000001</v>
      </c>
      <c r="C6" s="124">
        <v>47.472000000000001</v>
      </c>
      <c r="D6" s="124">
        <v>54.51</v>
      </c>
      <c r="E6" s="124">
        <v>67.807000000000002</v>
      </c>
      <c r="F6" s="124">
        <v>74.224000000000004</v>
      </c>
      <c r="G6" s="124">
        <v>76.382000000000005</v>
      </c>
      <c r="H6" s="124">
        <v>101.861</v>
      </c>
      <c r="I6" s="124">
        <v>105.46299999999999</v>
      </c>
      <c r="J6" s="124">
        <v>121.154</v>
      </c>
      <c r="K6" s="124">
        <v>162.828</v>
      </c>
      <c r="L6" s="124">
        <v>173.72800000000001</v>
      </c>
      <c r="M6" s="124">
        <v>177.58699999999999</v>
      </c>
      <c r="N6" s="124">
        <v>187.02</v>
      </c>
      <c r="O6" s="124">
        <v>201.40199999999999</v>
      </c>
      <c r="P6" s="115"/>
      <c r="Q6" s="128">
        <v>-5.7928884395011794E-2</v>
      </c>
    </row>
    <row r="7" spans="1:17">
      <c r="A7" s="114" t="s">
        <v>235</v>
      </c>
      <c r="B7" s="218">
        <v>24.184999999999999</v>
      </c>
      <c r="C7" s="124">
        <v>24.23</v>
      </c>
      <c r="D7" s="124">
        <v>24.452999999999999</v>
      </c>
      <c r="E7" s="124">
        <v>24.664999999999999</v>
      </c>
      <c r="F7" s="124">
        <v>26.655000000000001</v>
      </c>
      <c r="G7" s="124">
        <v>26.135000000000002</v>
      </c>
      <c r="H7" s="124">
        <v>26.338000000000001</v>
      </c>
      <c r="I7" s="124">
        <v>28.152999999999999</v>
      </c>
      <c r="J7" s="124">
        <v>28.943999999999999</v>
      </c>
      <c r="K7" s="124">
        <v>20.925999999999998</v>
      </c>
      <c r="L7" s="124">
        <v>20.920999999999999</v>
      </c>
      <c r="M7" s="124">
        <v>22.815000000000001</v>
      </c>
      <c r="N7" s="124">
        <v>26.521000000000001</v>
      </c>
      <c r="O7" s="124">
        <v>31.481000000000002</v>
      </c>
      <c r="P7" s="115"/>
      <c r="Q7" s="128">
        <v>-1.8572018159307348E-3</v>
      </c>
    </row>
    <row r="8" spans="1:17">
      <c r="A8" s="114" t="s">
        <v>237</v>
      </c>
      <c r="B8" s="218">
        <v>0</v>
      </c>
      <c r="C8" s="124">
        <v>0</v>
      </c>
      <c r="D8" s="124">
        <v>0</v>
      </c>
      <c r="E8" s="124">
        <v>0</v>
      </c>
      <c r="F8" s="124">
        <v>0</v>
      </c>
      <c r="G8" s="124">
        <v>0</v>
      </c>
      <c r="H8" s="124">
        <v>0</v>
      </c>
      <c r="I8" s="124">
        <v>0</v>
      </c>
      <c r="J8" s="124">
        <v>0</v>
      </c>
      <c r="K8" s="124">
        <v>0</v>
      </c>
      <c r="L8" s="124">
        <v>0</v>
      </c>
      <c r="M8" s="124">
        <v>0</v>
      </c>
      <c r="N8" s="124">
        <v>0</v>
      </c>
      <c r="O8" s="124">
        <v>0</v>
      </c>
      <c r="P8" s="115"/>
      <c r="Q8" s="128">
        <v>0</v>
      </c>
    </row>
    <row r="9" spans="1:17" ht="15.75" thickBot="1">
      <c r="A9" s="114"/>
      <c r="B9" s="260">
        <v>315.17500000000001</v>
      </c>
      <c r="C9" s="153">
        <v>342.63200000000001</v>
      </c>
      <c r="D9" s="153">
        <v>355.42200000000003</v>
      </c>
      <c r="E9" s="153">
        <v>383.12099999999998</v>
      </c>
      <c r="F9" s="153">
        <v>346.733</v>
      </c>
      <c r="G9" s="153">
        <v>357.99900000000002</v>
      </c>
      <c r="H9" s="153">
        <v>382.06099999999998</v>
      </c>
      <c r="I9" s="153">
        <v>330.18799999999999</v>
      </c>
      <c r="J9" s="153">
        <v>353.9</v>
      </c>
      <c r="K9" s="153">
        <v>413.20100000000002</v>
      </c>
      <c r="L9" s="153">
        <v>455.74</v>
      </c>
      <c r="M9" s="153">
        <v>643.66700000000003</v>
      </c>
      <c r="N9" s="153">
        <v>730.99</v>
      </c>
      <c r="O9" s="153">
        <v>1009.33</v>
      </c>
      <c r="P9" s="115"/>
      <c r="Q9" s="229">
        <v>-8.0135539003945905E-2</v>
      </c>
    </row>
    <row r="10" spans="1:17" ht="15.75" thickTop="1">
      <c r="A10" s="114"/>
      <c r="B10" s="87"/>
      <c r="C10" s="87"/>
      <c r="D10" s="87"/>
      <c r="E10" s="87"/>
      <c r="F10" s="87"/>
      <c r="G10" s="87"/>
      <c r="H10" s="87"/>
      <c r="I10" s="87"/>
      <c r="J10" s="87"/>
      <c r="K10" s="87"/>
      <c r="L10" s="87"/>
      <c r="M10" s="87"/>
      <c r="N10" s="87"/>
      <c r="O10" s="87"/>
      <c r="P10" s="115"/>
      <c r="Q10" s="88"/>
    </row>
    <row r="13" spans="1:17" ht="20.25" customHeight="1">
      <c r="A13" s="323"/>
      <c r="B13" s="323"/>
      <c r="C13" s="323"/>
      <c r="D13" s="323"/>
      <c r="E13" s="323"/>
      <c r="F13" s="323"/>
      <c r="G13" s="323"/>
      <c r="H13" s="323"/>
      <c r="I13" s="323"/>
      <c r="J13" s="323"/>
      <c r="K13" s="323"/>
      <c r="L13" s="323"/>
      <c r="M13" s="323"/>
      <c r="N13" s="323"/>
      <c r="O13" s="323"/>
      <c r="P13" s="212"/>
      <c r="Q13" s="212"/>
    </row>
  </sheetData>
  <sheetProtection formatCells="0" formatColumns="0" formatRows="0" insertColumns="0" insertRows="0" insertHyperlinks="0" deleteColumns="0" deleteRows="0" sort="0" autoFilter="0" pivotTables="0"/>
  <mergeCells count="1">
    <mergeCell ref="A13:O13"/>
  </mergeCells>
  <pageMargins left="0.70866141732283472" right="0.70866141732283472" top="0.74803149606299213" bottom="0.74803149606299213" header="0.31496062992125984" footer="0.31496062992125984"/>
  <pageSetup paperSize="9" scale="66"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EUC Document" ma:contentTypeID="0x0101004869DDCFDA87CE4CA4F21C6185DB2BB500257A4522FD898D43B30874944552E4A0" ma:contentTypeVersion="18" ma:contentTypeDescription="" ma:contentTypeScope="" ma:versionID="06e6984a68ce0a32cf48872122395ee8">
  <xsd:schema xmlns:xsd="http://www.w3.org/2001/XMLSchema" xmlns:xs="http://www.w3.org/2001/XMLSchema" xmlns:p="http://schemas.microsoft.com/office/2006/metadata/properties" xmlns:ns2="b65ba857-e4d0-4107-b47f-dae113343f35" xmlns:ns3="01f05ed3-a309-48c7-87c7-711a4587e607" targetNamespace="http://schemas.microsoft.com/office/2006/metadata/properties" ma:root="true" ma:fieldsID="6a5eb3bd66d0e9de581c47b3dc03cb78" ns2:_="" ns3:_="">
    <xsd:import namespace="b65ba857-e4d0-4107-b47f-dae113343f35"/>
    <xsd:import namespace="01f05ed3-a309-48c7-87c7-711a4587e607"/>
    <xsd:element name="properties">
      <xsd:complexType>
        <xsd:sequence>
          <xsd:element name="documentManagement">
            <xsd:complexType>
              <xsd:all>
                <xsd:element ref="ns2:Approvers" minOccurs="0"/>
                <xsd:element ref="ns2:Logic_x0020_Changed" minOccurs="0"/>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65ba857-e4d0-4107-b47f-dae113343f35" elementFormDefault="qualified">
    <xsd:import namespace="http://schemas.microsoft.com/office/2006/documentManagement/types"/>
    <xsd:import namespace="http://schemas.microsoft.com/office/infopath/2007/PartnerControls"/>
    <xsd:element name="Approvers" ma:index="8" nillable="true" ma:displayName="Approvers" ma:list="UserInfo" ma:internalName="Approver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Logic_x0020_Changed" ma:index="9" nillable="true" ma:displayName="Logic Changed" ma:default="0" ma:internalName="Logic_x0020_Changed">
      <xsd:simpleType>
        <xsd:restriction base="dms:Boolean"/>
      </xsd:simpleType>
    </xsd:element>
    <xsd:element name="TaxCatchAll" ma:index="16" nillable="true" ma:displayName="Taxonomy Catch All Column" ma:hidden="true" ma:list="{51967f2f-b59b-44d7-9bd4-873cb75a9c51}" ma:internalName="TaxCatchAll" ma:showField="CatchAllData" ma:web="b65ba857-e4d0-4107-b47f-dae113343f3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1f05ed3-a309-48c7-87c7-711a4587e607"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adaea53e-0967-446b-a3a7-125013572105"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ogic_x0020_Changed xmlns="b65ba857-e4d0-4107-b47f-dae113343f35">false</Logic_x0020_Changed>
    <Approvers xmlns="b65ba857-e4d0-4107-b47f-dae113343f35">
      <UserInfo>
        <DisplayName/>
        <AccountId xsi:nil="true"/>
        <AccountType/>
      </UserInfo>
    </Approvers>
    <lcf76f155ced4ddcb4097134ff3c332f xmlns="01f05ed3-a309-48c7-87c7-711a4587e607">
      <Terms xmlns="http://schemas.microsoft.com/office/infopath/2007/PartnerControls"/>
    </lcf76f155ced4ddcb4097134ff3c332f>
    <TaxCatchAll xmlns="b65ba857-e4d0-4107-b47f-dae113343f35" xsi:nil="true"/>
  </documentManagement>
</p:properties>
</file>

<file path=customXml/itemProps1.xml><?xml version="1.0" encoding="utf-8"?>
<ds:datastoreItem xmlns:ds="http://schemas.openxmlformats.org/officeDocument/2006/customXml" ds:itemID="{C447AF3C-E9BE-4870-BBFE-D488764ACDFA}">
  <ds:schemaRefs>
    <ds:schemaRef ds:uri="http://schemas.microsoft.com/sharepoint/v3/contenttype/forms"/>
  </ds:schemaRefs>
</ds:datastoreItem>
</file>

<file path=customXml/itemProps2.xml><?xml version="1.0" encoding="utf-8"?>
<ds:datastoreItem xmlns:ds="http://schemas.openxmlformats.org/officeDocument/2006/customXml" ds:itemID="{A5949890-34F5-457C-9494-4BA7FB8962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65ba857-e4d0-4107-b47f-dae113343f35"/>
    <ds:schemaRef ds:uri="01f05ed3-a309-48c7-87c7-711a4587e60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2DD5425-C9A8-40F0-AE7F-BA39B8A5C75B}">
  <ds:schemaRefs>
    <ds:schemaRef ds:uri="http://schemas.microsoft.com/office/2006/metadata/properties"/>
    <ds:schemaRef ds:uri="http://schemas.microsoft.com/office/infopath/2007/PartnerControls"/>
    <ds:schemaRef ds:uri="b65ba857-e4d0-4107-b47f-dae113343f35"/>
    <ds:schemaRef ds:uri="01f05ed3-a309-48c7-87c7-711a4587e60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8</vt:i4>
      </vt:variant>
    </vt:vector>
  </HeadingPairs>
  <TitlesOfParts>
    <vt:vector size="21" baseType="lpstr">
      <vt:lpstr>COVER</vt:lpstr>
      <vt:lpstr>AS T00 (Contents)</vt:lpstr>
      <vt:lpstr>AS T01 (Key financials-IS)</vt:lpstr>
      <vt:lpstr>AS T02 (Key financials-BS)</vt:lpstr>
      <vt:lpstr>AS T03 (CySeg)</vt:lpstr>
      <vt:lpstr>AS T04 (Gross Loans)</vt:lpstr>
      <vt:lpstr>AS T05 (AQ-90+DPD)</vt:lpstr>
      <vt:lpstr>AS T06 (AQ-NPEs)</vt:lpstr>
      <vt:lpstr>AS T07 (AQ-Rescheduled)</vt:lpstr>
      <vt:lpstr>AS T08.01 REPOSSESSED (REMU)</vt:lpstr>
      <vt:lpstr>AS T08 TOTAL (REMU)</vt:lpstr>
      <vt:lpstr>AS T09 (Capital)</vt:lpstr>
      <vt:lpstr>Disclaimer</vt:lpstr>
      <vt:lpstr>COVER!_Hlk106620498</vt:lpstr>
      <vt:lpstr>'AS T01 (Key financials-IS)'!Print_Area</vt:lpstr>
      <vt:lpstr>'AS T03 (CySeg)'!Print_Area</vt:lpstr>
      <vt:lpstr>'AS T04 (Gross Loans)'!Print_Area</vt:lpstr>
      <vt:lpstr>'AS T05 (AQ-90+DPD)'!Print_Area</vt:lpstr>
      <vt:lpstr>'AS T07 (AQ-Rescheduled)'!Print_Area</vt:lpstr>
      <vt:lpstr>'AS T08 TOTAL (REMU)'!Print_Area</vt:lpstr>
      <vt:lpstr>'AS T08.01 REPOSSESSED (REMU)'!Print_Area</vt:lpstr>
    </vt:vector>
  </TitlesOfParts>
  <Company>Bank of Cyprus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5701</dc:creator>
  <cp:lastModifiedBy>Stephanie Olympiou</cp:lastModifiedBy>
  <cp:lastPrinted>2024-11-07T07:09:53Z</cp:lastPrinted>
  <dcterms:created xsi:type="dcterms:W3CDTF">2017-04-28T07:25:29Z</dcterms:created>
  <dcterms:modified xsi:type="dcterms:W3CDTF">2026-08-04T06:35:23Z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LINKTEK-CHUNK-1">
    <vt:lpwstr>010048{"F":5,"I":"845A-D1B4-EC27-C967","M":"8e3b3667a60848d39b39f0b96f8f9f79"}H4sIAAAAAAAEAK1XYY/aOBD9KxafQOoUO7bjpN9sx6HcsVmOwN1Vp9OKQtrlyhKUhKqrqv/9JsB1Nyy70HLSbkRik3nMvDfz/LU1WKw+la03f31t9VtvWoZqAUEsLGjta4j90LRetYa40tXWXk+ScdodZeVmWZXEox4Hyrv9eJQSprrDA</vt:lpwstr>
  </property>
  <property fmtid="{D5CDD505-2E9C-101B-9397-08002B2CF9AE}" pid="3" name="LINKTEK-CHUNK-2">
    <vt:lpwstr>ZkkkRsN3vWTHjE67aekyMpqWmV32ap6/WVZfml9e7ULFCrGwQ+tAc09CkwGwT5Q783pUKPckelqTka5JpwB8wB3eKS9DzcnH/KC7Dd3moGNNQqMZg682DqQsXanAjOva4tsvqjIaFF+IkleZYR527Vuir+MVDnpj8gOBT8OjjdReIEKgbrIB+4rA0wb8TIKATR8ioKG27XHKGgI20cNFBT2j0nb6s5Nmq9vF9OSLFbrTUWoZKxeu/ns3ZRPCmW0</vt:lpwstr>
  </property>
  <property fmtid="{D5CDD505-2E9C-101B-9397-08002B2CF9AE}" pid="4" name="LINKTEK-CHUNK-3">
    <vt:lpwstr>McgIibSggQXlGXYSKT+ClD9Fyo8gZbB/TH5/jSlWVGxvgKS/EoevxNq2436iBwdljZhCzpqQQqQjA8J4+mziumG6pc9vm2lRZcXy/iwiCaQO+JQr8ILAx8Qwc04Jp2W1WH0s6wQ8lOXgt3iKQcCEActiD7gL+BlvfusG/T93V1JnKLF9PSDpcOR0lL51bvwfW5rBlA1DUJEMIfTwE66HPyBEE9vHGi9vTIq1ukp21GpGir3IgTJWQ6gtg1AG4uw</vt:lpwstr>
  </property>
  <property fmtid="{D5CDD505-2E9C-101B-9397-08002B2CF9AE}" pid="5" name="LINKTEK-CHUNK-4">
    <vt:lpwstr>SPZTGTJfT1Swj6W2WVY3YpF0Xq5hWi7w8ZIewEdhYcUBeeODHKj4jo70i36zJCulb1hzZ80S8puFBCoXnwCnPByfiGJTzoyNv742u+mnqhuMt6U0+LeZkPZ19IvUzd2Xc6Eh1HOUWBEX0Umu8SOtd0ieibJ2XC9z5/p6M79fZsxT0ZYTd3xmKwYMI+1NgX6rV+VFx3DyOSnqj68mwjv09tBQKKyQZ7pES24EwJybDmcEn5pqk2RrJ8j4ryL6r7D</vt:lpwstr>
  </property>
  <property fmtid="{D5CDD505-2E9C-101B-9397-08002B2CF9AE}" pid="6" name="LINKTEK-CHUNK-5">
    <vt:lpwstr>pRu257Nbpf8jJb3x6QJ2R1eTVOqTAyGExZ/v/kwm6KIlvN7p+tgotQJ85iZKpQD8bFZ7WYH5gSz9IQb3tXLhljC2l/KPI7kuYzlFZWknixzDqkXC7mGfHlE4kbUMJIbIfc1RKnJ5WQuD8I3neb8btbYtQLR/Tx/iFDnuRghdAgYokSl+ExsjQD2rysSP5hl6CXxGekqkcfVkfzGAe5Ci9K/7aXhcTmn7Ni+jGrGVBmswp7Vv2pqh+9iIbb2klQB</vt:lpwstr>
  </property>
  <property fmtid="{D5CDD505-2E9C-101B-9397-08002B2CF9AE}" pid="7" name="LINKTEK-CHUNK-6">
    <vt:lpwstr>MKoQmtmz+lhz6LBjbPbbL5Z4pAb5NNV+Z0TuzvENNuUVX6HYtnDfGwjHn29sxMxaZt3JB3rnks7DUGjnnGICRcAZyYA56y+CLi7mmwvZF3k66yoFll5s52mNNyruqhFVmb4Nyf5annfTKQUDCdrTCkYQ32IQ3pRgzmiKh39MknHLiKYkaRvr1OS4KxarHCC4bwi/dUM04pWLC+yrfNJ8hXUN50XCeD5oQTrRA3ZKZDcXETHhzzeISPrCYoVjG3n</vt:lpwstr>
  </property>
  <property fmtid="{D5CDD505-2E9C-101B-9397-08002B2CF9AE}" pid="8" name="LINKTEK-CHUNK-7">
    <vt:lpwstr>uE1gOLjBma0DlBpbc3Rsxl2StKR/Vf8TjebuXX12OIpDUxVBHHE0XIJ7IKl/wq78LI79V0m7n9jBJKqPNG/jdFuuaDhsMtw30gPh0NLbWGPvs+Icw/Zjbl43bbye/4PqRPE108MjtMHcdwy0jBT4gp8o08GxSjfPU9+jkGOG+KAyCq2w79AUW2sciFCeOCj8xMHqMTz+bBJkaJChxqB58FmAzumyTnn24WqP4u9v/wJxLv7LVg8AAA==</vt:lpwstr>
  </property>
  <property fmtid="{D5CDD505-2E9C-101B-9397-08002B2CF9AE}" pid="9" name="MediaServiceImageTags">
    <vt:lpwstr/>
  </property>
  <property fmtid="{D5CDD505-2E9C-101B-9397-08002B2CF9AE}" pid="10" name="ContentTypeId">
    <vt:lpwstr>0x0101004869DDCFDA87CE4CA4F21C6185DB2BB500257A4522FD898D43B30874944552E4A0</vt:lpwstr>
  </property>
  <property fmtid="{D5CDD505-2E9C-101B-9397-08002B2CF9AE}" pid="11" name="MSIP_Label_ad123ef0-1eab-4049-8ca8-6c7e4b49fb43_Enabled">
    <vt:lpwstr>true</vt:lpwstr>
  </property>
  <property fmtid="{D5CDD505-2E9C-101B-9397-08002B2CF9AE}" pid="12" name="MSIP_Label_ad123ef0-1eab-4049-8ca8-6c7e4b49fb43_SetDate">
    <vt:lpwstr>2026-08-04T06:35:22Z</vt:lpwstr>
  </property>
  <property fmtid="{D5CDD505-2E9C-101B-9397-08002B2CF9AE}" pid="13" name="MSIP_Label_ad123ef0-1eab-4049-8ca8-6c7e4b49fb43_Method">
    <vt:lpwstr>Privileged</vt:lpwstr>
  </property>
  <property fmtid="{D5CDD505-2E9C-101B-9397-08002B2CF9AE}" pid="14" name="MSIP_Label_ad123ef0-1eab-4049-8ca8-6c7e4b49fb43_Name">
    <vt:lpwstr>Public</vt:lpwstr>
  </property>
  <property fmtid="{D5CDD505-2E9C-101B-9397-08002B2CF9AE}" pid="15" name="MSIP_Label_ad123ef0-1eab-4049-8ca8-6c7e4b49fb43_SiteId">
    <vt:lpwstr>adc46af2-9b39-4b5e-a6e6-c2437f7c5706</vt:lpwstr>
  </property>
  <property fmtid="{D5CDD505-2E9C-101B-9397-08002B2CF9AE}" pid="16" name="MSIP_Label_ad123ef0-1eab-4049-8ca8-6c7e4b49fb43_ActionId">
    <vt:lpwstr>4109ba4f-caa1-4b28-91c0-80de7828796d</vt:lpwstr>
  </property>
  <property fmtid="{D5CDD505-2E9C-101B-9397-08002B2CF9AE}" pid="17" name="MSIP_Label_ad123ef0-1eab-4049-8ca8-6c7e4b49fb43_ContentBits">
    <vt:lpwstr>0</vt:lpwstr>
  </property>
  <property fmtid="{D5CDD505-2E9C-101B-9397-08002B2CF9AE}" pid="18" name="MSIP_Label_ad123ef0-1eab-4049-8ca8-6c7e4b49fb43_Tag">
    <vt:lpwstr>10, 0, 1, 1</vt:lpwstr>
  </property>
</Properties>
</file>